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wk\Desktop\wwwle\"/>
    </mc:Choice>
  </mc:AlternateContent>
  <xr:revisionPtr revIDLastSave="0" documentId="13_ncr:1_{303DE51C-E76C-4853-8EC3-3662D977D841}" xr6:coauthVersionLast="43" xr6:coauthVersionMax="43" xr10:uidLastSave="{00000000-0000-0000-0000-000000000000}"/>
  <workbookProtection workbookAlgorithmName="SHA-512" workbookHashValue="FxsbckE1yfi2T1yUWy0R2LoImMAsx3ao2klosngXN8dGewe/tl1zbfwwhgv5FZeQ7EhHcsRS/LJMy3aF8TH1BA==" workbookSaltValue="fOUtX0ubUgXiHMj4a9DgQw==" workbookSpinCount="100000" lockStructure="1"/>
  <bookViews>
    <workbookView xWindow="-98" yWindow="-98" windowWidth="19396" windowHeight="10395" xr2:uid="{18E98FB1-5007-47BC-A2C8-07D9E303D9EE}"/>
  </bookViews>
  <sheets>
    <sheet name="dane" sheetId="3" r:id="rId1"/>
    <sheet name="obliczenia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D13" i="2"/>
  <c r="J25" i="2" l="1"/>
  <c r="E11" i="2" l="1"/>
  <c r="G13" i="3" s="1"/>
  <c r="D11" i="2"/>
  <c r="F13" i="3" s="1"/>
  <c r="D10" i="2"/>
  <c r="C10" i="3" s="1"/>
  <c r="B2" i="2" l="1"/>
  <c r="F33" i="3" l="1"/>
  <c r="G26" i="3"/>
  <c r="F27" i="3"/>
  <c r="E26" i="3"/>
  <c r="D27" i="3"/>
  <c r="C40" i="3"/>
  <c r="C38" i="3"/>
  <c r="C32" i="3"/>
  <c r="C26" i="3"/>
  <c r="E19" i="2"/>
  <c r="D26" i="2"/>
  <c r="E26" i="2" s="1"/>
  <c r="D18" i="2" l="1"/>
  <c r="D25" i="2"/>
  <c r="D6" i="2"/>
  <c r="D12" i="2" l="1"/>
  <c r="C19" i="3" s="1"/>
  <c r="J23" i="2"/>
  <c r="M40" i="2"/>
  <c r="C39" i="3" s="1"/>
  <c r="H40" i="2"/>
  <c r="C33" i="3" s="1"/>
  <c r="C40" i="2"/>
  <c r="I39" i="2"/>
  <c r="D39" i="2"/>
  <c r="F20" i="3"/>
  <c r="D15" i="2"/>
  <c r="D28" i="2"/>
  <c r="J39" i="2" s="1"/>
  <c r="D22" i="2"/>
  <c r="F16" i="3"/>
  <c r="D7" i="2"/>
  <c r="E7" i="3" s="1"/>
  <c r="N39" i="2" l="1"/>
  <c r="E15" i="2"/>
  <c r="D42" i="2"/>
  <c r="D28" i="3" s="1"/>
  <c r="D26" i="3"/>
  <c r="D32" i="3"/>
  <c r="N41" i="2"/>
  <c r="D40" i="3" s="1"/>
  <c r="E22" i="2"/>
  <c r="O41" i="2" s="1"/>
  <c r="L39" i="2"/>
  <c r="E32" i="3"/>
  <c r="D27" i="2"/>
  <c r="D29" i="2" s="1"/>
  <c r="I40" i="2" s="1"/>
  <c r="D33" i="3" s="1"/>
  <c r="D20" i="2"/>
  <c r="D21" i="2" s="1"/>
  <c r="D8" i="2"/>
  <c r="F39" i="2" l="1"/>
  <c r="K39" i="2"/>
  <c r="F15" i="2"/>
  <c r="P39" i="2" s="1"/>
  <c r="O39" i="2"/>
  <c r="I42" i="2"/>
  <c r="D34" i="3" s="1"/>
  <c r="K42" i="2"/>
  <c r="F22" i="2"/>
  <c r="P41" i="2" s="1"/>
  <c r="F38" i="3"/>
  <c r="E21" i="2"/>
  <c r="N40" i="2"/>
  <c r="D39" i="3" s="1"/>
  <c r="F7" i="3"/>
  <c r="G32" i="3"/>
  <c r="D38" i="3"/>
  <c r="E10" i="2"/>
  <c r="J40" i="2" l="1"/>
  <c r="J42" i="2" s="1"/>
  <c r="E40" i="2"/>
  <c r="F21" i="2"/>
  <c r="P40" i="2" s="1"/>
  <c r="O40" i="2"/>
  <c r="N42" i="2"/>
  <c r="D41" i="3" s="1"/>
  <c r="E38" i="3"/>
  <c r="E40" i="3"/>
  <c r="Q41" i="2"/>
  <c r="G40" i="3" s="1"/>
  <c r="F40" i="3"/>
  <c r="F26" i="3"/>
  <c r="F42" i="2"/>
  <c r="F28" i="3" s="1"/>
  <c r="F34" i="3"/>
  <c r="F32" i="3"/>
  <c r="P42" i="2" l="1"/>
  <c r="F41" i="3" s="1"/>
  <c r="Q39" i="2"/>
  <c r="G38" i="3" s="1"/>
  <c r="O42" i="2"/>
  <c r="E41" i="3" s="1"/>
  <c r="F39" i="3"/>
  <c r="L40" i="2"/>
  <c r="L42" i="2" s="1"/>
  <c r="I43" i="2" s="1"/>
  <c r="E33" i="3"/>
  <c r="E34" i="3"/>
  <c r="E39" i="3"/>
  <c r="Q40" i="2"/>
  <c r="G39" i="3" s="1"/>
  <c r="G40" i="2"/>
  <c r="G42" i="2" s="1"/>
  <c r="E27" i="3"/>
  <c r="E42" i="2"/>
  <c r="E28" i="3" s="1"/>
  <c r="Q42" i="2" l="1"/>
  <c r="N43" i="2" s="1"/>
  <c r="G27" i="3"/>
  <c r="G33" i="3"/>
  <c r="G28" i="3" l="1"/>
  <c r="D43" i="2"/>
  <c r="G34" i="3"/>
  <c r="G41" i="3"/>
  <c r="D35" i="3" l="1"/>
  <c r="D29" i="3"/>
  <c r="D4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Tomasz Tutka</author>
  </authors>
  <commentList>
    <comment ref="B12" authorId="0" shapeId="0" xr:uid="{0523B4DD-76BB-498A-84A1-E20D64165C7D}">
      <text>
        <r>
          <rPr>
            <sz val="9"/>
            <color indexed="81"/>
            <rFont val="Tahoma"/>
            <charset val="1"/>
          </rPr>
          <t xml:space="preserve">Podatek PIT/CIT - 19%
Podatek CIT - 9% - dla małych firm i firm rozpoczynających działalność.
</t>
        </r>
      </text>
    </comment>
    <comment ref="B16" authorId="0" shapeId="0" xr:uid="{D7B7586C-3EAB-42CA-BA79-4F0530744328}">
      <text>
        <r>
          <rPr>
            <sz val="9"/>
            <color indexed="81"/>
            <rFont val="Tahoma"/>
            <charset val="1"/>
          </rPr>
          <t>Sprawdź w banku lub u dealera.</t>
        </r>
      </text>
    </comment>
    <comment ref="B17" authorId="0" shapeId="0" xr:uid="{BCE0B9F8-FB4B-44BA-BE0B-98BA15023587}">
      <text>
        <r>
          <rPr>
            <sz val="9"/>
            <color indexed="81"/>
            <rFont val="Tahoma"/>
            <charset val="1"/>
          </rPr>
          <t>Sprawdź w banku lub u dealera.</t>
        </r>
      </text>
    </comment>
    <comment ref="G25" authorId="0" shapeId="0" xr:uid="{B0BD3BDB-7677-4ECF-894D-59A44381FB8B}">
      <text>
        <r>
          <rPr>
            <sz val="9"/>
            <color indexed="81"/>
            <rFont val="Tahoma"/>
            <family val="2"/>
            <charset val="238"/>
          </rPr>
          <t>Zmniejszenie podatku dochodowego PIT/CIT.</t>
        </r>
      </text>
    </comment>
    <comment ref="E27" authorId="0" shapeId="0" xr:uid="{BA98BAA9-3D7B-4776-BD7A-735485C4F11D}">
      <text>
        <r>
          <rPr>
            <sz val="9"/>
            <color indexed="81"/>
            <rFont val="Tahoma"/>
            <family val="2"/>
            <charset val="238"/>
          </rPr>
          <t>Amortyzacja.</t>
        </r>
      </text>
    </comment>
    <comment ref="D29" authorId="0" shapeId="0" xr:uid="{692D2205-CE77-4B82-841B-B9869619ACBB}">
      <text>
        <r>
          <rPr>
            <sz val="9"/>
            <color indexed="81"/>
            <rFont val="Tahoma"/>
            <family val="2"/>
            <charset val="238"/>
          </rPr>
          <t>Wydatek pomniejszony o korzyści podatkowe i odliczony VAT.</t>
        </r>
      </text>
    </comment>
    <comment ref="G31" authorId="0" shapeId="0" xr:uid="{5CDA6C6B-B325-4DD7-8E44-27FF8DDF00F2}">
      <text>
        <r>
          <rPr>
            <sz val="9"/>
            <color indexed="81"/>
            <rFont val="Tahoma"/>
            <family val="2"/>
            <charset val="238"/>
          </rPr>
          <t>Zmniejszenie podatku dochodowego PIT/CIT.</t>
        </r>
      </text>
    </comment>
    <comment ref="D32" authorId="0" shapeId="0" xr:uid="{192574E6-3F7B-4285-93B5-9CD388B6D05F}">
      <text>
        <r>
          <rPr>
            <sz val="9"/>
            <color indexed="81"/>
            <rFont val="Tahoma"/>
            <family val="2"/>
            <charset val="238"/>
          </rPr>
          <t>Wkład własny.</t>
        </r>
      </text>
    </comment>
    <comment ref="E32" authorId="0" shapeId="0" xr:uid="{6963EE81-843D-47AA-B239-EAE75D0D7DE2}">
      <text>
        <r>
          <rPr>
            <sz val="9"/>
            <color indexed="81"/>
            <rFont val="Tahoma"/>
            <family val="2"/>
            <charset val="238"/>
          </rPr>
          <t>Prowizja od kredytu.</t>
        </r>
      </text>
    </comment>
    <comment ref="D33" authorId="0" shapeId="0" xr:uid="{1A26407B-30FB-45F8-8AA8-5899AEA5CBB0}">
      <text>
        <r>
          <rPr>
            <sz val="9"/>
            <color indexed="81"/>
            <rFont val="Tahoma"/>
            <family val="2"/>
            <charset val="238"/>
          </rPr>
          <t>Miesięczna rata kredytu.</t>
        </r>
      </text>
    </comment>
    <comment ref="E33" authorId="0" shapeId="0" xr:uid="{2BEEF29B-E2CE-4858-AF58-E5DC812BF88C}">
      <text>
        <r>
          <rPr>
            <sz val="9"/>
            <color indexed="81"/>
            <rFont val="Tahoma"/>
            <family val="2"/>
            <charset val="238"/>
          </rPr>
          <t>Amortyzacja + odsetki od kredytu.</t>
        </r>
      </text>
    </comment>
    <comment ref="D35" authorId="0" shapeId="0" xr:uid="{046D8001-D4D6-43C4-843D-77B4FDCD7C96}">
      <text>
        <r>
          <rPr>
            <sz val="9"/>
            <color indexed="81"/>
            <rFont val="Tahoma"/>
            <family val="2"/>
            <charset val="238"/>
          </rPr>
          <t>Wydatek pomniejszony o korzyści podatkowe i odliczony VAT.</t>
        </r>
      </text>
    </comment>
    <comment ref="G37" authorId="0" shapeId="0" xr:uid="{B8830D80-4CA3-447B-8CC4-E4521907A018}">
      <text>
        <r>
          <rPr>
            <sz val="9"/>
            <color indexed="81"/>
            <rFont val="Tahoma"/>
            <family val="2"/>
            <charset val="238"/>
          </rPr>
          <t>Zmniejszenie podatku dochodowego PIT/CIT.</t>
        </r>
      </text>
    </comment>
    <comment ref="D38" authorId="0" shapeId="0" xr:uid="{0CD833D5-A1B3-4FFC-9A39-5292CC553167}">
      <text>
        <r>
          <rPr>
            <sz val="9"/>
            <color indexed="81"/>
            <rFont val="Tahoma"/>
            <family val="2"/>
            <charset val="238"/>
          </rPr>
          <t>Wkład własny - czynsz inicjalny.</t>
        </r>
      </text>
    </comment>
    <comment ref="E38" authorId="0" shapeId="0" xr:uid="{966FAC56-089C-4A3A-A274-82383BA51701}">
      <text>
        <r>
          <rPr>
            <sz val="9"/>
            <color indexed="81"/>
            <rFont val="Tahoma"/>
            <family val="2"/>
            <charset val="238"/>
          </rPr>
          <t>Czynsz inicjalny netto</t>
        </r>
      </text>
    </comment>
    <comment ref="D39" authorId="0" shapeId="0" xr:uid="{050D38A6-A347-4A8E-AD7F-2C6A68EC3B30}">
      <text>
        <r>
          <rPr>
            <sz val="9"/>
            <color indexed="81"/>
            <rFont val="Tahoma"/>
            <family val="2"/>
            <charset val="238"/>
          </rPr>
          <t>Rata leasingowa.</t>
        </r>
      </text>
    </comment>
    <comment ref="E39" authorId="0" shapeId="0" xr:uid="{881DE516-32C9-4B50-A7F7-1DD942339AC2}">
      <text>
        <r>
          <rPr>
            <sz val="9"/>
            <color indexed="81"/>
            <rFont val="Tahoma"/>
            <family val="2"/>
            <charset val="238"/>
          </rPr>
          <t>Suma czynszów leasingowych netto.</t>
        </r>
      </text>
    </comment>
    <comment ref="D40" authorId="0" shapeId="0" xr:uid="{D0E4B18C-68CC-45AC-AA3F-AEA896A6226D}">
      <text>
        <r>
          <rPr>
            <sz val="9"/>
            <color indexed="81"/>
            <rFont val="Tahoma"/>
            <family val="2"/>
            <charset val="238"/>
          </rPr>
          <t>Wykup po zakończeniu umowy. Osobna transakcja.</t>
        </r>
      </text>
    </comment>
    <comment ref="E40" authorId="0" shapeId="0" xr:uid="{3CDD0255-6615-4D08-8D81-F580D2A6A79F}">
      <text>
        <r>
          <rPr>
            <sz val="9"/>
            <color indexed="81"/>
            <rFont val="Tahoma"/>
            <family val="2"/>
            <charset val="238"/>
          </rPr>
          <t>Koszty jak przy zakupie. Do 10 000 zł jednorazowa amortyzacja. Powyżej 10 000 zł wg stawki amortyzacji.</t>
        </r>
      </text>
    </comment>
    <comment ref="D42" authorId="0" shapeId="0" xr:uid="{39741D84-ACE1-4E26-9D6E-E9BBB532F170}">
      <text>
        <r>
          <rPr>
            <sz val="9"/>
            <color indexed="81"/>
            <rFont val="Tahoma"/>
            <family val="2"/>
            <charset val="238"/>
          </rPr>
          <t>Wydatek pomniejszony o korzyści podatkowe i odliczony VAT.</t>
        </r>
      </text>
    </comment>
  </commentList>
</comments>
</file>

<file path=xl/sharedStrings.xml><?xml version="1.0" encoding="utf-8"?>
<sst xmlns="http://schemas.openxmlformats.org/spreadsheetml/2006/main" count="188" uniqueCount="95">
  <si>
    <t>amortyzacja</t>
  </si>
  <si>
    <t>wykup</t>
  </si>
  <si>
    <t>okres</t>
  </si>
  <si>
    <t>wydatek początkowy</t>
  </si>
  <si>
    <t>gotówka</t>
  </si>
  <si>
    <t>kredyt</t>
  </si>
  <si>
    <t>leasing</t>
  </si>
  <si>
    <t>wydatki miesięczne</t>
  </si>
  <si>
    <t>korzyść podatkowa</t>
  </si>
  <si>
    <t>KUP</t>
  </si>
  <si>
    <t>Korzyść podatkowa</t>
  </si>
  <si>
    <t>ilość</t>
  </si>
  <si>
    <t>kredyt z umowy</t>
  </si>
  <si>
    <t>liośc rat umowy leasingu</t>
  </si>
  <si>
    <t>vat</t>
  </si>
  <si>
    <t>odliczenie VAT</t>
  </si>
  <si>
    <t>brutto</t>
  </si>
  <si>
    <t>podatek</t>
  </si>
  <si>
    <t>Podatek dochodowy</t>
  </si>
  <si>
    <t>Okres do porównania</t>
  </si>
  <si>
    <t>Wkład własny</t>
  </si>
  <si>
    <t xml:space="preserve">Warunki </t>
  </si>
  <si>
    <t>Kredyt</t>
  </si>
  <si>
    <t>Oprocentowanie</t>
  </si>
  <si>
    <t>Prowizja banku</t>
  </si>
  <si>
    <t>Leasing</t>
  </si>
  <si>
    <t>Wykup</t>
  </si>
  <si>
    <t>netto</t>
  </si>
  <si>
    <t>VAT</t>
  </si>
  <si>
    <t>Zakup za gotówke</t>
  </si>
  <si>
    <t>kwota</t>
  </si>
  <si>
    <t>Leasing operacyjny</t>
  </si>
  <si>
    <t>2 lata</t>
  </si>
  <si>
    <t>3 lata</t>
  </si>
  <si>
    <t>4 lata</t>
  </si>
  <si>
    <t>5 lat</t>
  </si>
  <si>
    <t>6 lat</t>
  </si>
  <si>
    <t>7 lat</t>
  </si>
  <si>
    <t>8 lat</t>
  </si>
  <si>
    <t>Ilość rat</t>
  </si>
  <si>
    <t>ilość rat kredytu</t>
  </si>
  <si>
    <t>wpłata</t>
  </si>
  <si>
    <t>rata leasingu</t>
  </si>
  <si>
    <t>rata kredytu</t>
  </si>
  <si>
    <t>prowizja</t>
  </si>
  <si>
    <t>Kredyt z umowy leasingu</t>
  </si>
  <si>
    <t>oprocentowanie leasingu</t>
  </si>
  <si>
    <t>oprocentowanie</t>
  </si>
  <si>
    <t>Brutto</t>
  </si>
  <si>
    <t>Netto</t>
  </si>
  <si>
    <t>wpisz</t>
  </si>
  <si>
    <t>wybierz</t>
  </si>
  <si>
    <t>razem</t>
  </si>
  <si>
    <t>1 x</t>
  </si>
  <si>
    <t>Wyniki porównania</t>
  </si>
  <si>
    <t>Wydatek początkowy</t>
  </si>
  <si>
    <t>Razem</t>
  </si>
  <si>
    <t>Kwota miesięcznie</t>
  </si>
  <si>
    <t>Odliczenie VAT</t>
  </si>
  <si>
    <t>wydatek efektywny</t>
  </si>
  <si>
    <t xml:space="preserve">Efektywny wydatek </t>
  </si>
  <si>
    <t>Wydatki brutto</t>
  </si>
  <si>
    <t>PIT</t>
  </si>
  <si>
    <t>CIT</t>
  </si>
  <si>
    <t>Koszty uzyskania przychodu netto</t>
  </si>
  <si>
    <t>Sprzęt</t>
  </si>
  <si>
    <t>okres min</t>
  </si>
  <si>
    <t>okres max</t>
  </si>
  <si>
    <t>001. Samochód dostawczy</t>
  </si>
  <si>
    <t>002. Samochód ciężarowy standardowy</t>
  </si>
  <si>
    <t>003. Samochód ciężarowy specjalny</t>
  </si>
  <si>
    <t>004. Ciągnik siodłowy</t>
  </si>
  <si>
    <t>005. Naczepa/ Przyczepa</t>
  </si>
  <si>
    <t>006. Autobus/ Autokar</t>
  </si>
  <si>
    <t>007. Maszyna budowlana/ drogowa</t>
  </si>
  <si>
    <t>008. Maszyna rolnicza/ leśna</t>
  </si>
  <si>
    <t>009. Wózek widłowy</t>
  </si>
  <si>
    <t>010. Sprzęt medyczny</t>
  </si>
  <si>
    <t>011. Maszyny spożywcze/ gastronomiczne</t>
  </si>
  <si>
    <t>012. Maszyny piekarnicze</t>
  </si>
  <si>
    <t>013. Urządzenie diagnostyczne/ warsztatowe</t>
  </si>
  <si>
    <t>014. Maszyna poligraficzne/ drukarskie</t>
  </si>
  <si>
    <t>015. Obrabiarka do metalu/ drewna/ tworzyw sztucznych</t>
  </si>
  <si>
    <t>016. Urządzenie do obróbki termicznej - spawarka/ zgrzewarka</t>
  </si>
  <si>
    <t>Rodzaj sprzętu</t>
  </si>
  <si>
    <t>Stawka amortyzacji</t>
  </si>
  <si>
    <t>okres amortyzacji</t>
  </si>
  <si>
    <t>Okres leasingu</t>
  </si>
  <si>
    <t>Kredyt inwestycyjny</t>
  </si>
  <si>
    <t>FINANSOWANIE PRZEDMIOTÓW INNYCH NIŻ SAMOCHODY OSOBOWE - PORÓWNANIE</t>
  </si>
  <si>
    <t>wykup min.</t>
  </si>
  <si>
    <t>Minimalny wykup</t>
  </si>
  <si>
    <t>https://leasingexpert.pl</t>
  </si>
  <si>
    <t>biuro@leasingexpert.pl</t>
  </si>
  <si>
    <t>Wartość sprzętu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</si>
</sst>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0.000%"/>
    <numFmt numFmtId="166" formatCode="0.00000%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4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rgb="FFFF0000"/>
      </top>
      <bottom style="thick">
        <color rgb="FFFF0000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17">
    <xf numFmtId="0" fontId="0" fillId="0" borderId="0" xfId="0"/>
    <xf numFmtId="9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4" fontId="0" fillId="0" borderId="0" xfId="1" applyFont="1"/>
    <xf numFmtId="44" fontId="0" fillId="0" borderId="0" xfId="0" applyNumberFormat="1"/>
    <xf numFmtId="9" fontId="0" fillId="0" borderId="0" xfId="2" applyFont="1"/>
    <xf numFmtId="0" fontId="0" fillId="0" borderId="0" xfId="0" applyBorder="1"/>
    <xf numFmtId="9" fontId="0" fillId="0" borderId="0" xfId="0" applyNumberFormat="1" applyBorder="1"/>
    <xf numFmtId="9" fontId="0" fillId="0" borderId="0" xfId="0" applyNumberFormat="1" applyAlignment="1">
      <alignment horizontal="right"/>
    </xf>
    <xf numFmtId="165" fontId="0" fillId="0" borderId="0" xfId="2" applyNumberFormat="1" applyFont="1"/>
    <xf numFmtId="0" fontId="0" fillId="0" borderId="0" xfId="0" applyAlignment="1"/>
    <xf numFmtId="0" fontId="2" fillId="0" borderId="0" xfId="0" applyFont="1" applyProtection="1">
      <protection locked="0"/>
    </xf>
    <xf numFmtId="0" fontId="3" fillId="0" borderId="8" xfId="0" applyFont="1" applyBorder="1" applyAlignment="1" applyProtection="1">
      <alignment horizontal="right"/>
      <protection locked="0"/>
    </xf>
    <xf numFmtId="9" fontId="3" fillId="0" borderId="8" xfId="2" applyFont="1" applyBorder="1" applyProtection="1">
      <protection locked="0"/>
    </xf>
    <xf numFmtId="0" fontId="3" fillId="0" borderId="0" xfId="0" applyFont="1" applyProtection="1">
      <protection locked="0"/>
    </xf>
    <xf numFmtId="9" fontId="3" fillId="0" borderId="8" xfId="2" applyFont="1" applyBorder="1" applyProtection="1"/>
    <xf numFmtId="0" fontId="3" fillId="0" borderId="8" xfId="0" applyFont="1" applyBorder="1" applyAlignment="1" applyProtection="1">
      <alignment horizontal="right"/>
    </xf>
    <xf numFmtId="0" fontId="3" fillId="0" borderId="0" xfId="0" applyFont="1" applyBorder="1" applyProtection="1"/>
    <xf numFmtId="0" fontId="2" fillId="0" borderId="0" xfId="0" applyFont="1" applyBorder="1" applyProtection="1"/>
    <xf numFmtId="0" fontId="2" fillId="2" borderId="8" xfId="0" applyFont="1" applyFill="1" applyBorder="1" applyProtection="1"/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3" fillId="3" borderId="8" xfId="0" applyFont="1" applyFill="1" applyBorder="1" applyProtection="1"/>
    <xf numFmtId="44" fontId="3" fillId="0" borderId="0" xfId="1" applyFont="1" applyBorder="1" applyProtection="1"/>
    <xf numFmtId="44" fontId="3" fillId="0" borderId="0" xfId="0" applyNumberFormat="1" applyFont="1" applyBorder="1" applyProtection="1"/>
    <xf numFmtId="0" fontId="3" fillId="4" borderId="8" xfId="0" applyFont="1" applyFill="1" applyBorder="1" applyAlignment="1" applyProtection="1">
      <alignment horizontal="left"/>
    </xf>
    <xf numFmtId="0" fontId="3" fillId="4" borderId="8" xfId="0" applyFont="1" applyFill="1" applyBorder="1" applyProtection="1"/>
    <xf numFmtId="0" fontId="3" fillId="0" borderId="7" xfId="0" applyFont="1" applyBorder="1" applyProtection="1"/>
    <xf numFmtId="0" fontId="3" fillId="0" borderId="2" xfId="0" applyFont="1" applyBorder="1" applyProtection="1"/>
    <xf numFmtId="0" fontId="3" fillId="0" borderId="2" xfId="0" applyFont="1" applyBorder="1" applyAlignment="1" applyProtection="1">
      <alignment horizontal="right"/>
    </xf>
    <xf numFmtId="0" fontId="3" fillId="0" borderId="7" xfId="0" applyFont="1" applyBorder="1" applyAlignment="1" applyProtection="1">
      <alignment horizontal="right"/>
    </xf>
    <xf numFmtId="0" fontId="3" fillId="0" borderId="0" xfId="0" applyFont="1" applyProtection="1"/>
    <xf numFmtId="0" fontId="2" fillId="0" borderId="0" xfId="0" applyFont="1" applyProtection="1"/>
    <xf numFmtId="0" fontId="2" fillId="0" borderId="4" xfId="0" applyFont="1" applyBorder="1" applyProtection="1"/>
    <xf numFmtId="44" fontId="3" fillId="0" borderId="8" xfId="0" applyNumberFormat="1" applyFont="1" applyBorder="1" applyProtection="1"/>
    <xf numFmtId="44" fontId="3" fillId="0" borderId="20" xfId="0" applyNumberFormat="1" applyFont="1" applyBorder="1" applyProtection="1"/>
    <xf numFmtId="0" fontId="3" fillId="2" borderId="8" xfId="0" applyFont="1" applyFill="1" applyBorder="1" applyProtection="1"/>
    <xf numFmtId="0" fontId="3" fillId="0" borderId="8" xfId="0" applyFont="1" applyBorder="1" applyProtection="1"/>
    <xf numFmtId="44" fontId="4" fillId="0" borderId="8" xfId="0" applyNumberFormat="1" applyFont="1" applyBorder="1" applyProtection="1"/>
    <xf numFmtId="0" fontId="3" fillId="0" borderId="20" xfId="0" applyFont="1" applyBorder="1" applyProtection="1"/>
    <xf numFmtId="0" fontId="2" fillId="0" borderId="1" xfId="0" applyFont="1" applyBorder="1" applyProtection="1"/>
    <xf numFmtId="44" fontId="3" fillId="0" borderId="8" xfId="1" applyFont="1" applyBorder="1" applyProtection="1"/>
    <xf numFmtId="44" fontId="3" fillId="0" borderId="20" xfId="1" applyFont="1" applyBorder="1" applyProtection="1"/>
    <xf numFmtId="44" fontId="4" fillId="0" borderId="19" xfId="0" applyNumberFormat="1" applyFont="1" applyBorder="1" applyProtection="1"/>
    <xf numFmtId="44" fontId="4" fillId="0" borderId="8" xfId="1" applyFont="1" applyBorder="1" applyProtection="1">
      <protection locked="0"/>
    </xf>
    <xf numFmtId="9" fontId="3" fillId="0" borderId="8" xfId="2" applyFont="1" applyBorder="1" applyAlignment="1" applyProtection="1">
      <alignment horizontal="right"/>
      <protection locked="0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44" fontId="4" fillId="0" borderId="8" xfId="1" applyFont="1" applyBorder="1" applyProtection="1"/>
    <xf numFmtId="0" fontId="0" fillId="0" borderId="10" xfId="0" applyBorder="1"/>
    <xf numFmtId="0" fontId="0" fillId="0" borderId="0" xfId="0" applyFill="1" applyBorder="1"/>
    <xf numFmtId="166" fontId="0" fillId="0" borderId="0" xfId="2" applyNumberFormat="1" applyFont="1" applyBorder="1"/>
    <xf numFmtId="0" fontId="3" fillId="0" borderId="21" xfId="0" applyFont="1" applyBorder="1" applyAlignment="1" applyProtection="1">
      <alignment horizontal="center" vertical="center" wrapText="1"/>
    </xf>
    <xf numFmtId="0" fontId="2" fillId="2" borderId="6" xfId="0" applyFont="1" applyFill="1" applyBorder="1" applyProtection="1"/>
    <xf numFmtId="0" fontId="3" fillId="0" borderId="6" xfId="0" applyFont="1" applyBorder="1" applyProtection="1"/>
    <xf numFmtId="44" fontId="3" fillId="0" borderId="7" xfId="1" applyFont="1" applyBorder="1" applyProtection="1"/>
    <xf numFmtId="44" fontId="3" fillId="0" borderId="12" xfId="1" applyFont="1" applyBorder="1" applyProtection="1"/>
    <xf numFmtId="0" fontId="3" fillId="0" borderId="8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2" fillId="2" borderId="13" xfId="0" applyFont="1" applyFill="1" applyBorder="1" applyProtection="1"/>
    <xf numFmtId="0" fontId="3" fillId="0" borderId="13" xfId="0" applyFont="1" applyBorder="1" applyProtection="1"/>
    <xf numFmtId="0" fontId="3" fillId="0" borderId="14" xfId="0" applyFont="1" applyBorder="1" applyProtection="1"/>
    <xf numFmtId="0" fontId="3" fillId="0" borderId="15" xfId="0" applyFont="1" applyBorder="1" applyProtection="1"/>
    <xf numFmtId="0" fontId="3" fillId="4" borderId="27" xfId="0" applyFont="1" applyFill="1" applyBorder="1" applyProtection="1"/>
    <xf numFmtId="0" fontId="0" fillId="0" borderId="0" xfId="3" applyNumberFormat="1" applyFont="1"/>
    <xf numFmtId="0" fontId="3" fillId="0" borderId="17" xfId="0" applyFont="1" applyBorder="1" applyAlignment="1" applyProtection="1">
      <alignment horizontal="center" vertical="center" wrapText="1"/>
    </xf>
    <xf numFmtId="0" fontId="2" fillId="2" borderId="30" xfId="0" applyFont="1" applyFill="1" applyBorder="1" applyProtection="1"/>
    <xf numFmtId="44" fontId="3" fillId="0" borderId="33" xfId="0" applyNumberFormat="1" applyFont="1" applyBorder="1" applyProtection="1"/>
    <xf numFmtId="9" fontId="3" fillId="0" borderId="31" xfId="0" applyNumberFormat="1" applyFont="1" applyBorder="1" applyProtection="1"/>
    <xf numFmtId="0" fontId="3" fillId="0" borderId="32" xfId="0" applyFont="1" applyBorder="1" applyProtection="1"/>
    <xf numFmtId="0" fontId="9" fillId="0" borderId="0" xfId="0" applyFont="1" applyProtection="1"/>
    <xf numFmtId="0" fontId="10" fillId="0" borderId="0" xfId="4" applyFont="1" applyProtection="1"/>
    <xf numFmtId="0" fontId="4" fillId="5" borderId="37" xfId="0" applyFont="1" applyFill="1" applyBorder="1" applyProtection="1"/>
    <xf numFmtId="0" fontId="3" fillId="0" borderId="38" xfId="0" applyFont="1" applyBorder="1" applyProtection="1"/>
    <xf numFmtId="0" fontId="3" fillId="5" borderId="37" xfId="0" applyFont="1" applyFill="1" applyBorder="1" applyProtection="1"/>
    <xf numFmtId="0" fontId="3" fillId="5" borderId="39" xfId="0" applyFont="1" applyFill="1" applyBorder="1" applyProtection="1"/>
    <xf numFmtId="0" fontId="3" fillId="0" borderId="40" xfId="0" applyFont="1" applyBorder="1" applyProtection="1"/>
    <xf numFmtId="0" fontId="3" fillId="0" borderId="37" xfId="0" applyFont="1" applyBorder="1" applyProtection="1"/>
    <xf numFmtId="0" fontId="4" fillId="5" borderId="41" xfId="0" applyFont="1" applyFill="1" applyBorder="1" applyProtection="1"/>
    <xf numFmtId="0" fontId="3" fillId="0" borderId="42" xfId="0" applyFont="1" applyBorder="1" applyProtection="1"/>
    <xf numFmtId="44" fontId="3" fillId="0" borderId="43" xfId="0" applyNumberFormat="1" applyFont="1" applyBorder="1" applyProtection="1"/>
    <xf numFmtId="0" fontId="4" fillId="5" borderId="39" xfId="0" applyFont="1" applyFill="1" applyBorder="1" applyProtection="1"/>
    <xf numFmtId="0" fontId="4" fillId="0" borderId="37" xfId="0" applyFont="1" applyBorder="1" applyProtection="1"/>
    <xf numFmtId="0" fontId="4" fillId="5" borderId="44" xfId="0" applyFont="1" applyFill="1" applyBorder="1" applyProtection="1"/>
    <xf numFmtId="0" fontId="2" fillId="2" borderId="45" xfId="0" applyFont="1" applyFill="1" applyBorder="1" applyProtection="1"/>
    <xf numFmtId="9" fontId="3" fillId="0" borderId="46" xfId="2" applyFont="1" applyBorder="1" applyProtection="1">
      <protection locked="0"/>
    </xf>
    <xf numFmtId="0" fontId="3" fillId="3" borderId="47" xfId="0" applyFont="1" applyFill="1" applyBorder="1" applyProtection="1"/>
    <xf numFmtId="0" fontId="3" fillId="0" borderId="48" xfId="0" applyFont="1" applyBorder="1" applyAlignment="1" applyProtection="1">
      <alignment horizontal="right"/>
    </xf>
    <xf numFmtId="0" fontId="3" fillId="0" borderId="48" xfId="0" applyFont="1" applyBorder="1" applyProtection="1"/>
    <xf numFmtId="0" fontId="3" fillId="0" borderId="49" xfId="0" applyFont="1" applyBorder="1" applyProtection="1"/>
    <xf numFmtId="0" fontId="4" fillId="5" borderId="34" xfId="0" applyFont="1" applyFill="1" applyBorder="1" applyAlignment="1" applyProtection="1">
      <alignment horizontal="center" wrapText="1"/>
    </xf>
    <xf numFmtId="0" fontId="4" fillId="5" borderId="35" xfId="0" applyFont="1" applyFill="1" applyBorder="1" applyAlignment="1" applyProtection="1">
      <alignment horizontal="center" wrapText="1"/>
    </xf>
    <xf numFmtId="0" fontId="4" fillId="5" borderId="36" xfId="0" applyFont="1" applyFill="1" applyBorder="1" applyAlignment="1" applyProtection="1">
      <alignment horizontal="center" wrapText="1"/>
    </xf>
    <xf numFmtId="0" fontId="4" fillId="5" borderId="9" xfId="0" applyFont="1" applyFill="1" applyBorder="1" applyAlignment="1" applyProtection="1">
      <alignment horizontal="center"/>
    </xf>
    <xf numFmtId="0" fontId="4" fillId="5" borderId="10" xfId="0" applyFont="1" applyFill="1" applyBorder="1" applyAlignment="1" applyProtection="1">
      <alignment horizontal="center"/>
    </xf>
    <xf numFmtId="0" fontId="4" fillId="5" borderId="11" xfId="0" applyFont="1" applyFill="1" applyBorder="1" applyAlignment="1" applyProtection="1">
      <alignment horizontal="center"/>
    </xf>
    <xf numFmtId="0" fontId="7" fillId="5" borderId="16" xfId="0" applyFont="1" applyFill="1" applyBorder="1" applyAlignment="1" applyProtection="1">
      <alignment horizontal="center"/>
    </xf>
    <xf numFmtId="0" fontId="7" fillId="5" borderId="7" xfId="0" applyFont="1" applyFill="1" applyBorder="1" applyAlignment="1" applyProtection="1">
      <alignment horizontal="center"/>
    </xf>
    <xf numFmtId="0" fontId="7" fillId="5" borderId="12" xfId="0" applyFont="1" applyFill="1" applyBorder="1" applyAlignment="1" applyProtection="1">
      <alignment horizontal="center"/>
    </xf>
    <xf numFmtId="0" fontId="4" fillId="5" borderId="24" xfId="0" applyFont="1" applyFill="1" applyBorder="1" applyAlignment="1" applyProtection="1">
      <alignment horizontal="center" vertical="center" textRotation="90" wrapText="1"/>
    </xf>
    <xf numFmtId="0" fontId="4" fillId="5" borderId="22" xfId="0" applyFont="1" applyFill="1" applyBorder="1" applyAlignment="1" applyProtection="1">
      <alignment horizontal="center" vertical="center" textRotation="90" wrapText="1"/>
    </xf>
    <xf numFmtId="0" fontId="4" fillId="5" borderId="25" xfId="0" applyFont="1" applyFill="1" applyBorder="1" applyAlignment="1" applyProtection="1">
      <alignment horizontal="center" vertical="center" textRotation="90" wrapText="1"/>
    </xf>
    <xf numFmtId="0" fontId="3" fillId="6" borderId="16" xfId="0" applyFont="1" applyFill="1" applyBorder="1" applyAlignment="1" applyProtection="1">
      <alignment horizontal="center"/>
    </xf>
    <xf numFmtId="0" fontId="3" fillId="6" borderId="7" xfId="0" applyFont="1" applyFill="1" applyBorder="1" applyAlignment="1" applyProtection="1">
      <alignment horizontal="center"/>
    </xf>
    <xf numFmtId="0" fontId="3" fillId="6" borderId="12" xfId="0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left"/>
      <protection locked="0"/>
    </xf>
    <xf numFmtId="0" fontId="3" fillId="0" borderId="29" xfId="0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4" fillId="5" borderId="24" xfId="0" applyFont="1" applyFill="1" applyBorder="1" applyAlignment="1" applyProtection="1">
      <alignment horizontal="center" vertical="center" textRotation="90"/>
    </xf>
    <xf numFmtId="0" fontId="4" fillId="5" borderId="22" xfId="0" applyFont="1" applyFill="1" applyBorder="1" applyAlignment="1" applyProtection="1">
      <alignment horizontal="center" vertical="center" textRotation="90"/>
    </xf>
    <xf numFmtId="0" fontId="4" fillId="5" borderId="26" xfId="0" applyFont="1" applyFill="1" applyBorder="1" applyAlignment="1" applyProtection="1">
      <alignment horizontal="center" vertical="center" textRotation="90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</cellXfs>
  <cellStyles count="5">
    <cellStyle name="Dziesiętny" xfId="3" builtinId="3"/>
    <cellStyle name="Hiperłącze" xfId="4" builtinId="8"/>
    <cellStyle name="Normalny" xfId="0" builtinId="0"/>
    <cellStyle name="Procentowy" xfId="2" builtinId="5"/>
    <cellStyle name="Walutowy" xfId="1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leasingexpert.p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4763</xdr:colOff>
      <xdr:row>1</xdr:row>
      <xdr:rowOff>23811</xdr:rowOff>
    </xdr:from>
    <xdr:to>
      <xdr:col>1</xdr:col>
      <xdr:colOff>876299</xdr:colOff>
      <xdr:row>3</xdr:row>
      <xdr:rowOff>15771</xdr:rowOff>
    </xdr:to>
    <xdr:pic>
      <xdr:nvPicPr>
        <xdr:cNvPr id="3" name="Obraz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645E1D-1D5C-4601-B6A0-348F4768E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3" y="190499"/>
          <a:ext cx="1466849" cy="387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iuro@leasingexpert.pl" TargetMode="External"/><Relationship Id="rId1" Type="http://schemas.openxmlformats.org/officeDocument/2006/relationships/hyperlink" Target="https://leasingexpert.pl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28D50-CEDA-4C86-A45E-38672C359285}">
  <sheetPr codeName="Arkusz1"/>
  <dimension ref="A1:G44"/>
  <sheetViews>
    <sheetView showGridLines="0" tabSelected="1" topLeftCell="A9" workbookViewId="0">
      <selection activeCell="H13" sqref="H13"/>
    </sheetView>
  </sheetViews>
  <sheetFormatPr defaultRowHeight="13.15" x14ac:dyDescent="0.4"/>
  <cols>
    <col min="1" max="1" width="8.33203125" style="15" bestFit="1" customWidth="1"/>
    <col min="2" max="2" width="15.33203125" style="12" bestFit="1" customWidth="1"/>
    <col min="3" max="3" width="12.6640625" style="15" customWidth="1"/>
    <col min="4" max="4" width="11.73046875" style="15" bestFit="1" customWidth="1"/>
    <col min="5" max="5" width="13.265625" style="15" customWidth="1"/>
    <col min="6" max="6" width="11.796875" style="15" customWidth="1"/>
    <col min="7" max="7" width="10.796875" style="15" bestFit="1" customWidth="1"/>
    <col min="8" max="8" width="10" style="12" customWidth="1"/>
    <col min="9" max="16384" width="9.06640625" style="12"/>
  </cols>
  <sheetData>
    <row r="1" spans="1:7" ht="18" x14ac:dyDescent="0.55000000000000004">
      <c r="A1" s="32"/>
      <c r="B1" s="33"/>
      <c r="C1" s="71"/>
      <c r="D1" s="72" t="s">
        <v>92</v>
      </c>
      <c r="E1" s="33"/>
      <c r="F1" s="32"/>
      <c r="G1" s="32"/>
    </row>
    <row r="2" spans="1:7" x14ac:dyDescent="0.4">
      <c r="A2" s="32"/>
      <c r="B2" s="33"/>
      <c r="C2" s="33"/>
      <c r="D2" s="32"/>
      <c r="E2" s="33"/>
      <c r="F2" s="33"/>
      <c r="G2" s="32"/>
    </row>
    <row r="3" spans="1:7" ht="18" x14ac:dyDescent="0.55000000000000004">
      <c r="A3" s="32"/>
      <c r="B3" s="33"/>
      <c r="C3" s="71"/>
      <c r="D3" s="72" t="s">
        <v>93</v>
      </c>
      <c r="E3" s="32"/>
      <c r="F3" s="32"/>
      <c r="G3" s="32"/>
    </row>
    <row r="4" spans="1:7" ht="13.5" thickBot="1" x14ac:dyDescent="0.45">
      <c r="A4" s="32"/>
      <c r="B4" s="33"/>
      <c r="C4" s="33"/>
      <c r="D4" s="32"/>
      <c r="E4" s="32"/>
      <c r="F4" s="32"/>
      <c r="G4" s="32"/>
    </row>
    <row r="5" spans="1:7" ht="14.25" customHeight="1" thickTop="1" x14ac:dyDescent="0.4">
      <c r="A5" s="91" t="s">
        <v>89</v>
      </c>
      <c r="B5" s="92"/>
      <c r="C5" s="92"/>
      <c r="D5" s="92"/>
      <c r="E5" s="92"/>
      <c r="F5" s="92"/>
      <c r="G5" s="93"/>
    </row>
    <row r="6" spans="1:7" x14ac:dyDescent="0.4">
      <c r="A6" s="73" t="s">
        <v>65</v>
      </c>
      <c r="B6" s="19"/>
      <c r="C6" s="22" t="s">
        <v>48</v>
      </c>
      <c r="D6" s="18"/>
      <c r="E6" s="22" t="s">
        <v>49</v>
      </c>
      <c r="F6" s="22" t="s">
        <v>28</v>
      </c>
      <c r="G6" s="74"/>
    </row>
    <row r="7" spans="1:7" x14ac:dyDescent="0.4">
      <c r="A7" s="75"/>
      <c r="B7" s="20" t="s">
        <v>94</v>
      </c>
      <c r="C7" s="45">
        <v>150000</v>
      </c>
      <c r="D7" s="23" t="s">
        <v>50</v>
      </c>
      <c r="E7" s="24">
        <f>obliczenia!D7</f>
        <v>121951.21951219512</v>
      </c>
      <c r="F7" s="25">
        <f>obliczenia!D8</f>
        <v>28048.780487804877</v>
      </c>
      <c r="G7" s="74"/>
    </row>
    <row r="8" spans="1:7" x14ac:dyDescent="0.4">
      <c r="A8" s="75"/>
      <c r="B8" s="20" t="s">
        <v>84</v>
      </c>
      <c r="C8" s="108" t="s">
        <v>76</v>
      </c>
      <c r="D8" s="109"/>
      <c r="E8" s="110"/>
      <c r="F8" s="26" t="s">
        <v>51</v>
      </c>
      <c r="G8" s="74"/>
    </row>
    <row r="9" spans="1:7" x14ac:dyDescent="0.4">
      <c r="A9" s="75"/>
      <c r="B9" s="19"/>
      <c r="C9" s="18"/>
      <c r="D9" s="18"/>
      <c r="E9" s="18"/>
      <c r="F9" s="24"/>
      <c r="G9" s="74"/>
    </row>
    <row r="10" spans="1:7" x14ac:dyDescent="0.4">
      <c r="A10" s="76"/>
      <c r="B10" s="20" t="s">
        <v>85</v>
      </c>
      <c r="C10" s="16">
        <f>obliczenia!D10</f>
        <v>0.14000000000000001</v>
      </c>
      <c r="D10" s="28"/>
      <c r="E10" s="28"/>
      <c r="F10" s="28"/>
      <c r="G10" s="77"/>
    </row>
    <row r="11" spans="1:7" x14ac:dyDescent="0.4">
      <c r="A11" s="78"/>
      <c r="B11" s="19"/>
      <c r="C11" s="18"/>
      <c r="D11" s="18"/>
      <c r="E11" s="18"/>
      <c r="F11" s="18"/>
      <c r="G11" s="74"/>
    </row>
    <row r="12" spans="1:7" ht="13.5" thickBot="1" x14ac:dyDescent="0.45">
      <c r="A12" s="79" t="s">
        <v>21</v>
      </c>
      <c r="B12" s="20" t="s">
        <v>18</v>
      </c>
      <c r="C12" s="14">
        <v>0.19</v>
      </c>
      <c r="D12" s="27" t="s">
        <v>51</v>
      </c>
      <c r="E12" s="29"/>
      <c r="F12" s="29"/>
      <c r="G12" s="80"/>
    </row>
    <row r="13" spans="1:7" ht="13.9" thickTop="1" thickBot="1" x14ac:dyDescent="0.45">
      <c r="A13" s="73"/>
      <c r="B13" s="20" t="s">
        <v>19</v>
      </c>
      <c r="C13" s="13" t="s">
        <v>34</v>
      </c>
      <c r="D13" s="64" t="s">
        <v>51</v>
      </c>
      <c r="E13" s="70" t="s">
        <v>87</v>
      </c>
      <c r="F13" s="68" t="str">
        <f>obliczenia!D11</f>
        <v>min. 3 lata</v>
      </c>
      <c r="G13" s="81" t="str">
        <f>obliczenia!E11</f>
        <v>max. 6 lat</v>
      </c>
    </row>
    <row r="14" spans="1:7" ht="13.5" thickTop="1" x14ac:dyDescent="0.4">
      <c r="A14" s="82"/>
      <c r="B14" s="20" t="s">
        <v>20</v>
      </c>
      <c r="C14" s="46">
        <v>0.1</v>
      </c>
      <c r="D14" s="27" t="s">
        <v>51</v>
      </c>
      <c r="E14" s="28"/>
      <c r="F14" s="28"/>
      <c r="G14" s="77"/>
    </row>
    <row r="15" spans="1:7" x14ac:dyDescent="0.4">
      <c r="A15" s="83"/>
      <c r="B15" s="19"/>
      <c r="C15" s="18"/>
      <c r="D15" s="18"/>
      <c r="E15" s="18"/>
      <c r="F15" s="18"/>
      <c r="G15" s="74"/>
    </row>
    <row r="16" spans="1:7" x14ac:dyDescent="0.4">
      <c r="A16" s="79" t="s">
        <v>22</v>
      </c>
      <c r="B16" s="20" t="s">
        <v>23</v>
      </c>
      <c r="C16" s="14">
        <v>0.09</v>
      </c>
      <c r="D16" s="23" t="s">
        <v>50</v>
      </c>
      <c r="E16" s="30" t="s">
        <v>39</v>
      </c>
      <c r="F16" s="29">
        <f>obliczenia!D25</f>
        <v>48</v>
      </c>
      <c r="G16" s="80"/>
    </row>
    <row r="17" spans="1:7" x14ac:dyDescent="0.4">
      <c r="A17" s="82"/>
      <c r="B17" s="20" t="s">
        <v>24</v>
      </c>
      <c r="C17" s="14">
        <v>0.04</v>
      </c>
      <c r="D17" s="23" t="s">
        <v>50</v>
      </c>
      <c r="E17" s="31"/>
      <c r="F17" s="28"/>
      <c r="G17" s="77"/>
    </row>
    <row r="18" spans="1:7" ht="13.5" thickBot="1" x14ac:dyDescent="0.45">
      <c r="A18" s="83"/>
      <c r="B18" s="19"/>
      <c r="C18" s="18"/>
      <c r="D18" s="18"/>
      <c r="E18" s="21"/>
      <c r="F18" s="18"/>
      <c r="G18" s="74"/>
    </row>
    <row r="19" spans="1:7" ht="13.9" thickTop="1" thickBot="1" x14ac:dyDescent="0.45">
      <c r="A19" s="79" t="s">
        <v>25</v>
      </c>
      <c r="B19" s="67" t="s">
        <v>91</v>
      </c>
      <c r="C19" s="69">
        <f>obliczenia!D12</f>
        <v>0.06</v>
      </c>
      <c r="D19" s="18"/>
      <c r="E19" s="21"/>
      <c r="F19" s="18"/>
      <c r="G19" s="74"/>
    </row>
    <row r="20" spans="1:7" ht="13.9" thickTop="1" thickBot="1" x14ac:dyDescent="0.45">
      <c r="A20" s="84"/>
      <c r="B20" s="85" t="s">
        <v>26</v>
      </c>
      <c r="C20" s="86">
        <v>0.06</v>
      </c>
      <c r="D20" s="87" t="s">
        <v>50</v>
      </c>
      <c r="E20" s="88" t="s">
        <v>39</v>
      </c>
      <c r="F20" s="89">
        <f>obliczenia!D18</f>
        <v>47</v>
      </c>
      <c r="G20" s="90"/>
    </row>
    <row r="21" spans="1:7" ht="13.9" thickTop="1" thickBot="1" x14ac:dyDescent="0.45">
      <c r="A21" s="32"/>
      <c r="B21" s="33"/>
      <c r="C21" s="32"/>
      <c r="D21" s="32"/>
      <c r="E21" s="32"/>
      <c r="F21" s="32"/>
      <c r="G21" s="32"/>
    </row>
    <row r="22" spans="1:7" x14ac:dyDescent="0.4">
      <c r="A22" s="94" t="s">
        <v>54</v>
      </c>
      <c r="B22" s="95"/>
      <c r="C22" s="95"/>
      <c r="D22" s="95"/>
      <c r="E22" s="95"/>
      <c r="F22" s="95"/>
      <c r="G22" s="96"/>
    </row>
    <row r="23" spans="1:7" ht="14.25" customHeight="1" x14ac:dyDescent="0.35">
      <c r="A23" s="97"/>
      <c r="B23" s="98"/>
      <c r="C23" s="98"/>
      <c r="D23" s="98"/>
      <c r="E23" s="98"/>
      <c r="F23" s="98"/>
      <c r="G23" s="99"/>
    </row>
    <row r="24" spans="1:7" ht="13.15" customHeight="1" x14ac:dyDescent="0.4">
      <c r="A24" s="103"/>
      <c r="B24" s="104"/>
      <c r="C24" s="104"/>
      <c r="D24" s="104"/>
      <c r="E24" s="104"/>
      <c r="F24" s="104"/>
      <c r="G24" s="105"/>
    </row>
    <row r="25" spans="1:7" ht="26.25" x14ac:dyDescent="0.35">
      <c r="A25" s="100" t="s">
        <v>29</v>
      </c>
      <c r="B25" s="34"/>
      <c r="C25" s="106" t="s">
        <v>61</v>
      </c>
      <c r="D25" s="107"/>
      <c r="E25" s="47" t="s">
        <v>64</v>
      </c>
      <c r="F25" s="47" t="s">
        <v>58</v>
      </c>
      <c r="G25" s="48" t="s">
        <v>10</v>
      </c>
    </row>
    <row r="26" spans="1:7" x14ac:dyDescent="0.4">
      <c r="A26" s="101"/>
      <c r="B26" s="20" t="s">
        <v>55</v>
      </c>
      <c r="C26" s="17" t="str">
        <f>obliczenia!C39</f>
        <v>1 x</v>
      </c>
      <c r="D26" s="35">
        <f>obliczenia!D39</f>
        <v>150000</v>
      </c>
      <c r="E26" s="35">
        <f>obliczenia!E39</f>
        <v>0</v>
      </c>
      <c r="F26" s="35">
        <f>obliczenia!F39</f>
        <v>28048.780487804877</v>
      </c>
      <c r="G26" s="36">
        <f>obliczenia!G39</f>
        <v>0</v>
      </c>
    </row>
    <row r="27" spans="1:7" x14ac:dyDescent="0.4">
      <c r="A27" s="101"/>
      <c r="B27" s="20" t="s">
        <v>57</v>
      </c>
      <c r="C27" s="17"/>
      <c r="D27" s="35">
        <f>obliczenia!D40</f>
        <v>0</v>
      </c>
      <c r="E27" s="35">
        <f>obliczenia!E40</f>
        <v>68292.682926829264</v>
      </c>
      <c r="F27" s="35">
        <f>obliczenia!F40</f>
        <v>0</v>
      </c>
      <c r="G27" s="36">
        <f>obliczenia!G40</f>
        <v>12975.60975609756</v>
      </c>
    </row>
    <row r="28" spans="1:7" x14ac:dyDescent="0.4">
      <c r="A28" s="101"/>
      <c r="B28" s="37" t="s">
        <v>56</v>
      </c>
      <c r="C28" s="38"/>
      <c r="D28" s="35">
        <f>obliczenia!D42</f>
        <v>150000</v>
      </c>
      <c r="E28" s="35">
        <f>obliczenia!E42</f>
        <v>68292.682926829264</v>
      </c>
      <c r="F28" s="35">
        <f>obliczenia!F42</f>
        <v>28048.780487804877</v>
      </c>
      <c r="G28" s="36">
        <f>obliczenia!G42</f>
        <v>12975.60975609756</v>
      </c>
    </row>
    <row r="29" spans="1:7" x14ac:dyDescent="0.4">
      <c r="A29" s="102"/>
      <c r="B29" s="20" t="s">
        <v>60</v>
      </c>
      <c r="C29" s="38"/>
      <c r="D29" s="39">
        <f>obliczenia!D43</f>
        <v>108975.60975609756</v>
      </c>
      <c r="E29" s="38"/>
      <c r="F29" s="38"/>
      <c r="G29" s="40"/>
    </row>
    <row r="30" spans="1:7" x14ac:dyDescent="0.4">
      <c r="A30" s="103"/>
      <c r="B30" s="104"/>
      <c r="C30" s="104"/>
      <c r="D30" s="104"/>
      <c r="E30" s="104"/>
      <c r="F30" s="104"/>
      <c r="G30" s="105"/>
    </row>
    <row r="31" spans="1:7" ht="26.25" x14ac:dyDescent="0.35">
      <c r="A31" s="100" t="s">
        <v>88</v>
      </c>
      <c r="B31" s="41"/>
      <c r="C31" s="114" t="s">
        <v>61</v>
      </c>
      <c r="D31" s="114"/>
      <c r="E31" s="66" t="s">
        <v>64</v>
      </c>
      <c r="F31" s="66" t="s">
        <v>58</v>
      </c>
      <c r="G31" s="53" t="s">
        <v>10</v>
      </c>
    </row>
    <row r="32" spans="1:7" x14ac:dyDescent="0.4">
      <c r="A32" s="101"/>
      <c r="B32" s="20" t="s">
        <v>55</v>
      </c>
      <c r="C32" s="17" t="str">
        <f>obliczenia!H39</f>
        <v>1 x</v>
      </c>
      <c r="D32" s="42">
        <f>obliczenia!I39</f>
        <v>15000</v>
      </c>
      <c r="E32" s="42">
        <f>obliczenia!J39</f>
        <v>6000</v>
      </c>
      <c r="F32" s="42">
        <f>obliczenia!K39</f>
        <v>28048.780487804877</v>
      </c>
      <c r="G32" s="43">
        <f>obliczenia!L39</f>
        <v>1140</v>
      </c>
    </row>
    <row r="33" spans="1:7" x14ac:dyDescent="0.4">
      <c r="A33" s="101"/>
      <c r="B33" s="20" t="s">
        <v>57</v>
      </c>
      <c r="C33" s="17" t="str">
        <f>obliczenia!H40</f>
        <v>48 x</v>
      </c>
      <c r="D33" s="42">
        <f>obliczenia!I40</f>
        <v>3508.7909747247236</v>
      </c>
      <c r="E33" s="42">
        <f>obliczenia!J40</f>
        <v>95714.649713616003</v>
      </c>
      <c r="F33" s="42">
        <f>obliczenia!K40</f>
        <v>0</v>
      </c>
      <c r="G33" s="43">
        <f>obliczenia!L40</f>
        <v>18185.78344558704</v>
      </c>
    </row>
    <row r="34" spans="1:7" x14ac:dyDescent="0.4">
      <c r="A34" s="101"/>
      <c r="B34" s="37" t="s">
        <v>56</v>
      </c>
      <c r="C34" s="38"/>
      <c r="D34" s="42">
        <f>obliczenia!I42</f>
        <v>183421.96678678674</v>
      </c>
      <c r="E34" s="42">
        <f>obliczenia!J42</f>
        <v>101714.649713616</v>
      </c>
      <c r="F34" s="42">
        <f>obliczenia!K42</f>
        <v>28048.780487804877</v>
      </c>
      <c r="G34" s="43">
        <f>obliczenia!L42</f>
        <v>19325.78344558704</v>
      </c>
    </row>
    <row r="35" spans="1:7" x14ac:dyDescent="0.4">
      <c r="A35" s="102"/>
      <c r="B35" s="54" t="s">
        <v>60</v>
      </c>
      <c r="C35" s="55"/>
      <c r="D35" s="49">
        <f>obliczenia!I43</f>
        <v>136047.40285339483</v>
      </c>
      <c r="E35" s="56"/>
      <c r="F35" s="56"/>
      <c r="G35" s="57"/>
    </row>
    <row r="36" spans="1:7" x14ac:dyDescent="0.4">
      <c r="A36" s="103"/>
      <c r="B36" s="104"/>
      <c r="C36" s="104"/>
      <c r="D36" s="104"/>
      <c r="E36" s="104"/>
      <c r="F36" s="104"/>
      <c r="G36" s="105"/>
    </row>
    <row r="37" spans="1:7" ht="26.25" x14ac:dyDescent="0.35">
      <c r="A37" s="111" t="s">
        <v>31</v>
      </c>
      <c r="B37" s="41"/>
      <c r="C37" s="115" t="s">
        <v>61</v>
      </c>
      <c r="D37" s="116"/>
      <c r="E37" s="58" t="s">
        <v>64</v>
      </c>
      <c r="F37" s="58" t="s">
        <v>58</v>
      </c>
      <c r="G37" s="59" t="s">
        <v>10</v>
      </c>
    </row>
    <row r="38" spans="1:7" x14ac:dyDescent="0.4">
      <c r="A38" s="112"/>
      <c r="B38" s="20" t="s">
        <v>55</v>
      </c>
      <c r="C38" s="17" t="str">
        <f>obliczenia!M39</f>
        <v>1 x</v>
      </c>
      <c r="D38" s="42">
        <f>obliczenia!N39</f>
        <v>15000</v>
      </c>
      <c r="E38" s="42">
        <f>obliczenia!O39</f>
        <v>12195.121951219513</v>
      </c>
      <c r="F38" s="42">
        <f>obliczenia!P39</f>
        <v>2804.878048780487</v>
      </c>
      <c r="G38" s="43">
        <f>obliczenia!Q39</f>
        <v>2317.0731707317077</v>
      </c>
    </row>
    <row r="39" spans="1:7" x14ac:dyDescent="0.4">
      <c r="A39" s="112"/>
      <c r="B39" s="20" t="s">
        <v>57</v>
      </c>
      <c r="C39" s="17" t="str">
        <f>obliczenia!M40</f>
        <v>47 x</v>
      </c>
      <c r="D39" s="42">
        <f>obliczenia!N40</f>
        <v>3258.4908502623271</v>
      </c>
      <c r="E39" s="42">
        <f>obliczenia!O40</f>
        <v>124511.43899376372</v>
      </c>
      <c r="F39" s="42">
        <f>obliczenia!P40</f>
        <v>14318.81548428283</v>
      </c>
      <c r="G39" s="43">
        <f>obliczenia!Q40</f>
        <v>23657.173408815106</v>
      </c>
    </row>
    <row r="40" spans="1:7" ht="14.25" customHeight="1" x14ac:dyDescent="0.4">
      <c r="A40" s="112"/>
      <c r="B40" s="20" t="s">
        <v>26</v>
      </c>
      <c r="C40" s="17" t="str">
        <f>obliczenia!M41</f>
        <v>1 x</v>
      </c>
      <c r="D40" s="42">
        <f>obliczenia!N41</f>
        <v>9000</v>
      </c>
      <c r="E40" s="42">
        <f>obliczenia!O41</f>
        <v>7317.0731707317073</v>
      </c>
      <c r="F40" s="42">
        <f>obliczenia!P41</f>
        <v>1682.9268292682927</v>
      </c>
      <c r="G40" s="43">
        <f>obliczenia!Q41</f>
        <v>1390.2439024390244</v>
      </c>
    </row>
    <row r="41" spans="1:7" ht="14.25" customHeight="1" x14ac:dyDescent="0.4">
      <c r="A41" s="112"/>
      <c r="B41" s="37" t="s">
        <v>56</v>
      </c>
      <c r="C41" s="38"/>
      <c r="D41" s="42">
        <f>obliczenia!N42</f>
        <v>177149.06996232938</v>
      </c>
      <c r="E41" s="42">
        <f>obliczenia!O42</f>
        <v>144023.63411571496</v>
      </c>
      <c r="F41" s="42">
        <f>obliczenia!P42</f>
        <v>18806.620362331611</v>
      </c>
      <c r="G41" s="43">
        <f>obliczenia!Q42</f>
        <v>27364.490481985838</v>
      </c>
    </row>
    <row r="42" spans="1:7" ht="14.25" customHeight="1" thickBot="1" x14ac:dyDescent="0.45">
      <c r="A42" s="113"/>
      <c r="B42" s="60" t="s">
        <v>60</v>
      </c>
      <c r="C42" s="61"/>
      <c r="D42" s="44">
        <f>obliczenia!N43</f>
        <v>130977.95911801195</v>
      </c>
      <c r="E42" s="62"/>
      <c r="F42" s="62"/>
      <c r="G42" s="63"/>
    </row>
    <row r="43" spans="1:7" ht="29.65" customHeight="1" x14ac:dyDescent="0.4"/>
    <row r="44" spans="1:7" ht="27.75" customHeight="1" x14ac:dyDescent="0.4"/>
  </sheetData>
  <sheetProtection algorithmName="SHA-512" hashValue="listKjNbUbqHR31hV8zj57ycQL8WwXikRT3ioFZM0kHqNDRi/jWEmb/jY+jrQdVeo8NjlSwh5f22BfKR7HRxFw==" saltValue="1aO7ZopjHaFscdb6Ioo4WA==" spinCount="100000" sheet="1" objects="1" scenarios="1"/>
  <mergeCells count="13">
    <mergeCell ref="A31:A35"/>
    <mergeCell ref="A30:G30"/>
    <mergeCell ref="A37:A42"/>
    <mergeCell ref="A36:G36"/>
    <mergeCell ref="C31:D31"/>
    <mergeCell ref="C37:D37"/>
    <mergeCell ref="A5:G5"/>
    <mergeCell ref="A22:G22"/>
    <mergeCell ref="A23:G23"/>
    <mergeCell ref="A25:A29"/>
    <mergeCell ref="A24:G24"/>
    <mergeCell ref="C25:D25"/>
    <mergeCell ref="C8:E8"/>
  </mergeCells>
  <conditionalFormatting sqref="C20">
    <cfRule type="cellIs" dxfId="1" priority="2" operator="lessThan">
      <formula>$C$19</formula>
    </cfRule>
  </conditionalFormatting>
  <hyperlinks>
    <hyperlink ref="D1" r:id="rId1" xr:uid="{8092BE65-033E-46B9-BF63-A7CECB9C384F}"/>
    <hyperlink ref="D3" r:id="rId2" xr:uid="{A063FEF3-777B-4AA2-A331-078950C876AA}"/>
  </hyperlinks>
  <pageMargins left="0.62992125984251968" right="0.62992125984251968" top="0.39370078740157483" bottom="0.39370078740157483" header="0.31496062992125984" footer="0.31496062992125984"/>
  <pageSetup paperSize="9" orientation="portrait" horizontalDpi="0" verticalDpi="0" r:id="rId3"/>
  <drawing r:id="rId4"/>
  <legacy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lessThan" id="{0B1EF979-9274-478B-8A1E-4680718746F7}">
            <xm:f>obliczenia!$D$13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07CD7B6-C3B0-4158-B749-74AA8E4BD0AF}">
          <x14:formula1>
            <xm:f>obliczenia!$C$1:$C$2</xm:f>
          </x14:formula1>
          <xm:sqref>C12</xm:sqref>
        </x14:dataValidation>
        <x14:dataValidation type="list" allowBlank="1" showInputMessage="1" showErrorMessage="1" xr:uid="{1B840F8A-C667-42AA-A143-0A1EDE6BD53F}">
          <x14:formula1>
            <xm:f>obliczenia!$H$1:$H$7</xm:f>
          </x14:formula1>
          <xm:sqref>C13</xm:sqref>
        </x14:dataValidation>
        <x14:dataValidation type="list" allowBlank="1" showInputMessage="1" showErrorMessage="1" xr:uid="{3481E861-05DA-42E4-9B19-76F5BE5AE0B7}">
          <x14:formula1>
            <xm:f>obliczenia!$K$3:$K$18</xm:f>
          </x14:formula1>
          <xm:sqref>C8</xm:sqref>
        </x14:dataValidation>
        <x14:dataValidation type="list" allowBlank="1" showInputMessage="1" showErrorMessage="1" xr:uid="{0AE5E6FA-C0A7-4501-B646-A30C6DDDE134}">
          <x14:formula1>
            <xm:f>obliczenia!$H$12:$H$21</xm:f>
          </x14:formula1>
          <xm:sqref>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E6C85-427D-465E-96EC-B9B7A618F6C9}">
  <sheetPr codeName="Arkusz3"/>
  <dimension ref="B1:V48"/>
  <sheetViews>
    <sheetView topLeftCell="A5" workbookViewId="0">
      <selection activeCell="E14" sqref="E14"/>
    </sheetView>
  </sheetViews>
  <sheetFormatPr defaultRowHeight="14.25" x14ac:dyDescent="0.45"/>
  <cols>
    <col min="2" max="2" width="20.265625" bestFit="1" customWidth="1"/>
    <col min="4" max="5" width="12.53125" bestFit="1" customWidth="1"/>
    <col min="6" max="6" width="11.53125" bestFit="1" customWidth="1"/>
    <col min="7" max="7" width="12.53125" bestFit="1" customWidth="1"/>
    <col min="9" max="10" width="12.53125" bestFit="1" customWidth="1"/>
    <col min="11" max="12" width="11.53125" bestFit="1" customWidth="1"/>
    <col min="14" max="15" width="12.53125" bestFit="1" customWidth="1"/>
    <col min="16" max="17" width="11.53125" bestFit="1" customWidth="1"/>
  </cols>
  <sheetData>
    <row r="1" spans="2:22" ht="14.65" thickBot="1" x14ac:dyDescent="0.5">
      <c r="B1" t="s">
        <v>17</v>
      </c>
      <c r="C1" s="9">
        <v>0.09</v>
      </c>
      <c r="D1" t="s">
        <v>63</v>
      </c>
      <c r="G1" t="s">
        <v>2</v>
      </c>
      <c r="H1" t="s">
        <v>32</v>
      </c>
      <c r="I1">
        <v>24</v>
      </c>
    </row>
    <row r="2" spans="2:22" x14ac:dyDescent="0.45">
      <c r="B2" s="1" t="str">
        <f>VLOOKUP(dane!C12,obliczenia!C1:D2,2)</f>
        <v>PIT</v>
      </c>
      <c r="C2" s="9">
        <v>0.19</v>
      </c>
      <c r="D2" t="s">
        <v>62</v>
      </c>
      <c r="H2" t="s">
        <v>33</v>
      </c>
      <c r="I2">
        <v>36</v>
      </c>
      <c r="K2" s="50"/>
      <c r="L2" s="50" t="s">
        <v>0</v>
      </c>
      <c r="M2" s="50" t="s">
        <v>66</v>
      </c>
      <c r="N2" s="50" t="s">
        <v>67</v>
      </c>
      <c r="O2" s="51" t="s">
        <v>86</v>
      </c>
      <c r="P2" s="51">
        <v>24</v>
      </c>
      <c r="Q2">
        <v>36</v>
      </c>
      <c r="R2">
        <v>48</v>
      </c>
      <c r="S2">
        <v>60</v>
      </c>
      <c r="T2">
        <v>72</v>
      </c>
      <c r="U2">
        <v>84</v>
      </c>
      <c r="V2">
        <v>96</v>
      </c>
    </row>
    <row r="3" spans="2:22" x14ac:dyDescent="0.45">
      <c r="H3" t="s">
        <v>34</v>
      </c>
      <c r="I3">
        <v>48</v>
      </c>
      <c r="K3" t="s">
        <v>68</v>
      </c>
      <c r="L3" s="6">
        <v>0.2</v>
      </c>
      <c r="M3" t="s">
        <v>32</v>
      </c>
      <c r="N3" t="s">
        <v>38</v>
      </c>
      <c r="O3">
        <v>60</v>
      </c>
      <c r="P3" s="1">
        <v>0.19</v>
      </c>
      <c r="Q3" s="1">
        <v>0.01</v>
      </c>
      <c r="R3" s="1">
        <v>0.01</v>
      </c>
      <c r="S3" s="1">
        <v>0.01</v>
      </c>
      <c r="T3" s="1">
        <v>0.01</v>
      </c>
      <c r="U3" s="1">
        <v>0.01</v>
      </c>
      <c r="V3" s="1">
        <v>0.01</v>
      </c>
    </row>
    <row r="4" spans="2:22" x14ac:dyDescent="0.45">
      <c r="B4" s="7"/>
      <c r="C4" s="7"/>
      <c r="D4" s="8"/>
      <c r="E4" s="7"/>
      <c r="H4" t="s">
        <v>35</v>
      </c>
      <c r="I4">
        <v>60</v>
      </c>
      <c r="K4" t="s">
        <v>69</v>
      </c>
      <c r="L4" s="6">
        <v>0.2</v>
      </c>
      <c r="M4" t="s">
        <v>32</v>
      </c>
      <c r="N4" t="s">
        <v>36</v>
      </c>
      <c r="O4">
        <v>60</v>
      </c>
      <c r="P4" s="1">
        <v>0.19</v>
      </c>
      <c r="Q4" s="1">
        <v>0.01</v>
      </c>
      <c r="R4" s="1">
        <v>0.01</v>
      </c>
      <c r="S4" s="1">
        <v>0.01</v>
      </c>
      <c r="T4" s="1">
        <v>0.01</v>
      </c>
      <c r="U4" s="1">
        <v>0.01</v>
      </c>
      <c r="V4" s="1">
        <v>0.01</v>
      </c>
    </row>
    <row r="5" spans="2:22" x14ac:dyDescent="0.45">
      <c r="H5" t="s">
        <v>36</v>
      </c>
      <c r="I5">
        <v>72</v>
      </c>
      <c r="K5" t="s">
        <v>70</v>
      </c>
      <c r="L5" s="6">
        <v>0.14000000000000001</v>
      </c>
      <c r="M5" t="s">
        <v>33</v>
      </c>
      <c r="N5" t="s">
        <v>36</v>
      </c>
      <c r="O5">
        <v>85</v>
      </c>
      <c r="P5">
        <v>0</v>
      </c>
      <c r="Q5" s="1">
        <v>0.2</v>
      </c>
      <c r="R5" s="1">
        <v>0.06</v>
      </c>
      <c r="S5" s="1">
        <v>0.01</v>
      </c>
      <c r="T5" s="1">
        <v>0.01</v>
      </c>
      <c r="U5" s="1">
        <v>0.01</v>
      </c>
      <c r="V5" s="1">
        <v>0.01</v>
      </c>
    </row>
    <row r="6" spans="2:22" x14ac:dyDescent="0.45">
      <c r="B6" t="s">
        <v>16</v>
      </c>
      <c r="D6" s="5">
        <f>dane!C7</f>
        <v>150000</v>
      </c>
      <c r="H6" t="s">
        <v>37</v>
      </c>
      <c r="I6">
        <v>84</v>
      </c>
      <c r="K6" t="s">
        <v>71</v>
      </c>
      <c r="L6" s="6">
        <v>0.14000000000000001</v>
      </c>
      <c r="M6" t="s">
        <v>33</v>
      </c>
      <c r="N6" t="s">
        <v>36</v>
      </c>
      <c r="O6">
        <v>85</v>
      </c>
      <c r="P6">
        <v>0</v>
      </c>
      <c r="Q6" s="1">
        <v>0.2</v>
      </c>
      <c r="R6" s="1">
        <v>0.06</v>
      </c>
      <c r="S6" s="1">
        <v>0.01</v>
      </c>
      <c r="T6" s="1">
        <v>0.01</v>
      </c>
      <c r="U6" s="1">
        <v>0.01</v>
      </c>
      <c r="V6" s="1">
        <v>0.01</v>
      </c>
    </row>
    <row r="7" spans="2:22" x14ac:dyDescent="0.45">
      <c r="B7" t="s">
        <v>27</v>
      </c>
      <c r="D7" s="5">
        <f>D6/1.23</f>
        <v>121951.21951219512</v>
      </c>
      <c r="H7" t="s">
        <v>38</v>
      </c>
      <c r="I7">
        <v>96</v>
      </c>
      <c r="K7" t="s">
        <v>72</v>
      </c>
      <c r="L7" s="6">
        <v>0.14000000000000001</v>
      </c>
      <c r="M7" t="s">
        <v>33</v>
      </c>
      <c r="N7" t="s">
        <v>36</v>
      </c>
      <c r="O7">
        <v>85</v>
      </c>
      <c r="P7">
        <v>0</v>
      </c>
      <c r="Q7" s="1">
        <v>0.2</v>
      </c>
      <c r="R7" s="1">
        <v>0.06</v>
      </c>
      <c r="S7" s="1">
        <v>0.01</v>
      </c>
      <c r="T7" s="1">
        <v>0.01</v>
      </c>
      <c r="U7" s="1">
        <v>0.01</v>
      </c>
      <c r="V7" s="1">
        <v>0.01</v>
      </c>
    </row>
    <row r="8" spans="2:22" x14ac:dyDescent="0.45">
      <c r="B8" s="2" t="s">
        <v>14</v>
      </c>
      <c r="D8" s="5">
        <f>D6-D7</f>
        <v>28048.780487804877</v>
      </c>
      <c r="K8" t="s">
        <v>73</v>
      </c>
      <c r="L8" s="6">
        <v>0.2</v>
      </c>
      <c r="M8" t="s">
        <v>32</v>
      </c>
      <c r="N8" t="s">
        <v>36</v>
      </c>
      <c r="O8">
        <v>60</v>
      </c>
      <c r="P8" s="1">
        <v>0.19</v>
      </c>
      <c r="Q8" s="1">
        <v>0.01</v>
      </c>
      <c r="R8" s="1">
        <v>0.01</v>
      </c>
      <c r="S8" s="1">
        <v>0.01</v>
      </c>
      <c r="T8" s="1">
        <v>0.01</v>
      </c>
      <c r="U8" s="1">
        <v>0.01</v>
      </c>
      <c r="V8" s="1">
        <v>0.01</v>
      </c>
    </row>
    <row r="9" spans="2:22" x14ac:dyDescent="0.45">
      <c r="K9" t="s">
        <v>74</v>
      </c>
      <c r="L9" s="6">
        <v>0.2</v>
      </c>
      <c r="M9" t="s">
        <v>32</v>
      </c>
      <c r="N9" t="s">
        <v>35</v>
      </c>
      <c r="O9">
        <v>60</v>
      </c>
      <c r="P9" s="1">
        <v>0.19</v>
      </c>
      <c r="Q9" s="1">
        <v>0.01</v>
      </c>
      <c r="R9" s="1">
        <v>0.01</v>
      </c>
      <c r="S9" s="1">
        <v>0.01</v>
      </c>
      <c r="T9" s="1">
        <v>0.01</v>
      </c>
      <c r="U9" s="1">
        <v>0.01</v>
      </c>
      <c r="V9" s="1">
        <v>0.01</v>
      </c>
    </row>
    <row r="10" spans="2:22" x14ac:dyDescent="0.45">
      <c r="B10" s="7" t="s">
        <v>0</v>
      </c>
      <c r="C10" s="7"/>
      <c r="D10" s="8">
        <f>VLOOKUP(dane!C8,K3:L18,2)</f>
        <v>0.14000000000000001</v>
      </c>
      <c r="E10" s="52">
        <f>D10/12</f>
        <v>1.1666666666666667E-2</v>
      </c>
      <c r="I10" s="1"/>
      <c r="K10" t="s">
        <v>75</v>
      </c>
      <c r="L10" s="6">
        <v>0.14000000000000001</v>
      </c>
      <c r="M10" t="s">
        <v>33</v>
      </c>
      <c r="N10" t="s">
        <v>36</v>
      </c>
      <c r="O10">
        <v>85</v>
      </c>
      <c r="P10">
        <v>0</v>
      </c>
      <c r="Q10" s="1">
        <v>0.2</v>
      </c>
      <c r="R10" s="1">
        <v>0.06</v>
      </c>
      <c r="S10" s="1">
        <v>0.01</v>
      </c>
      <c r="T10" s="1">
        <v>0.01</v>
      </c>
      <c r="U10" s="1">
        <v>0.01</v>
      </c>
      <c r="V10" s="1">
        <v>0.01</v>
      </c>
    </row>
    <row r="11" spans="2:22" x14ac:dyDescent="0.45">
      <c r="B11" s="51" t="s">
        <v>2</v>
      </c>
      <c r="D11" s="4" t="str">
        <f>CONCATENATE("min. ",VLOOKUP(dane!C8,K3:N18,3))</f>
        <v>min. 3 lata</v>
      </c>
      <c r="E11" s="4" t="str">
        <f>CONCATENATE("max. ",VLOOKUP(dane!C8,K3:N18,4))</f>
        <v>max. 6 lat</v>
      </c>
      <c r="I11" s="1"/>
      <c r="K11" t="s">
        <v>76</v>
      </c>
      <c r="L11" s="6">
        <v>0.14000000000000001</v>
      </c>
      <c r="M11" t="s">
        <v>33</v>
      </c>
      <c r="N11" t="s">
        <v>36</v>
      </c>
      <c r="O11">
        <v>85</v>
      </c>
      <c r="P11">
        <v>0</v>
      </c>
      <c r="Q11" s="1">
        <v>0.2</v>
      </c>
      <c r="R11" s="1">
        <v>0.06</v>
      </c>
      <c r="S11" s="1">
        <v>0.01</v>
      </c>
      <c r="T11" s="1">
        <v>0.01</v>
      </c>
      <c r="U11" s="1">
        <v>0.01</v>
      </c>
      <c r="V11" s="1">
        <v>0.01</v>
      </c>
    </row>
    <row r="12" spans="2:22" x14ac:dyDescent="0.45">
      <c r="B12" s="51" t="s">
        <v>90</v>
      </c>
      <c r="D12" s="6">
        <f>INDEX(K19:R35,MATCH(dane!C8,K19:K35,0),MATCH(D25,K19:R19,0))</f>
        <v>0.06</v>
      </c>
      <c r="G12" t="s">
        <v>41</v>
      </c>
      <c r="H12" s="1">
        <v>0</v>
      </c>
      <c r="I12" s="1"/>
      <c r="K12" t="s">
        <v>77</v>
      </c>
      <c r="L12" s="6">
        <v>0.2</v>
      </c>
      <c r="M12" t="s">
        <v>32</v>
      </c>
      <c r="N12" t="s">
        <v>36</v>
      </c>
      <c r="O12">
        <v>60</v>
      </c>
      <c r="P12" s="1">
        <v>0.19</v>
      </c>
      <c r="Q12" s="1">
        <v>0.01</v>
      </c>
      <c r="R12" s="1">
        <v>0.01</v>
      </c>
      <c r="S12" s="1">
        <v>0.01</v>
      </c>
      <c r="T12" s="1">
        <v>0.01</v>
      </c>
      <c r="U12" s="1">
        <v>0.01</v>
      </c>
      <c r="V12" s="1">
        <v>0.01</v>
      </c>
    </row>
    <row r="13" spans="2:22" x14ac:dyDescent="0.45">
      <c r="D13" s="5" t="str">
        <f>VLOOKUP(dane!C8,K3:N18,3)</f>
        <v>3 lata</v>
      </c>
      <c r="E13" t="str">
        <f>VLOOKUP(dane!C8,K3:N18,4)</f>
        <v>6 lat</v>
      </c>
      <c r="H13" s="1">
        <v>0.05</v>
      </c>
      <c r="K13" t="s">
        <v>78</v>
      </c>
      <c r="L13" s="6">
        <v>0.14000000000000001</v>
      </c>
      <c r="M13" t="s">
        <v>33</v>
      </c>
      <c r="N13" t="s">
        <v>36</v>
      </c>
      <c r="O13">
        <v>85</v>
      </c>
      <c r="P13" s="65">
        <v>0</v>
      </c>
      <c r="Q13" s="1">
        <v>0.2</v>
      </c>
      <c r="R13" s="1">
        <v>0.06</v>
      </c>
      <c r="S13" s="1">
        <v>0.01</v>
      </c>
      <c r="T13" s="1">
        <v>0.01</v>
      </c>
      <c r="U13" s="1">
        <v>0.01</v>
      </c>
      <c r="V13" s="1">
        <v>0.01</v>
      </c>
    </row>
    <row r="14" spans="2:22" x14ac:dyDescent="0.45">
      <c r="H14" s="1">
        <v>0.1</v>
      </c>
      <c r="K14" t="s">
        <v>79</v>
      </c>
      <c r="L14" s="6">
        <v>0.14000000000000001</v>
      </c>
      <c r="M14" t="s">
        <v>33</v>
      </c>
      <c r="N14" t="s">
        <v>36</v>
      </c>
      <c r="O14">
        <v>85</v>
      </c>
      <c r="P14" s="65">
        <v>0</v>
      </c>
      <c r="Q14" s="1">
        <v>0.2</v>
      </c>
      <c r="R14" s="1">
        <v>0.06</v>
      </c>
      <c r="S14" s="1">
        <v>0.01</v>
      </c>
      <c r="T14" s="1">
        <v>0.01</v>
      </c>
      <c r="U14" s="1">
        <v>0.01</v>
      </c>
      <c r="V14" s="1">
        <v>0.01</v>
      </c>
    </row>
    <row r="15" spans="2:22" x14ac:dyDescent="0.45">
      <c r="B15" t="s">
        <v>41</v>
      </c>
      <c r="D15" s="5">
        <f>D6*dane!C14</f>
        <v>15000</v>
      </c>
      <c r="E15" s="5">
        <f>D15/1.23</f>
        <v>12195.121951219513</v>
      </c>
      <c r="F15" s="5">
        <f>D15-E15</f>
        <v>2804.878048780487</v>
      </c>
      <c r="H15" s="1">
        <v>0.15</v>
      </c>
      <c r="K15" t="s">
        <v>80</v>
      </c>
      <c r="L15" s="6">
        <v>0.2</v>
      </c>
      <c r="M15" t="s">
        <v>33</v>
      </c>
      <c r="N15" t="s">
        <v>36</v>
      </c>
      <c r="O15">
        <v>60</v>
      </c>
      <c r="P15" s="1">
        <v>0.19</v>
      </c>
      <c r="Q15" s="1">
        <v>0.01</v>
      </c>
      <c r="R15" s="1">
        <v>0.01</v>
      </c>
      <c r="S15" s="1">
        <v>0.01</v>
      </c>
      <c r="T15" s="1">
        <v>0.01</v>
      </c>
      <c r="U15" s="1">
        <v>0.01</v>
      </c>
      <c r="V15" s="1">
        <v>0.01</v>
      </c>
    </row>
    <row r="16" spans="2:22" x14ac:dyDescent="0.45">
      <c r="D16" s="5"/>
      <c r="H16" s="1">
        <v>0.2</v>
      </c>
      <c r="K16" t="s">
        <v>81</v>
      </c>
      <c r="L16" s="6">
        <v>0.14000000000000001</v>
      </c>
      <c r="M16" t="s">
        <v>33</v>
      </c>
      <c r="N16" t="s">
        <v>36</v>
      </c>
      <c r="O16">
        <v>85</v>
      </c>
      <c r="P16" s="65">
        <v>0</v>
      </c>
      <c r="Q16" s="1">
        <v>0.2</v>
      </c>
      <c r="R16" s="1">
        <v>0.06</v>
      </c>
      <c r="S16" s="1">
        <v>0.01</v>
      </c>
      <c r="T16" s="1">
        <v>0.01</v>
      </c>
      <c r="U16" s="1">
        <v>0.01</v>
      </c>
      <c r="V16" s="1">
        <v>0.01</v>
      </c>
    </row>
    <row r="17" spans="2:22" x14ac:dyDescent="0.45">
      <c r="B17" t="s">
        <v>25</v>
      </c>
      <c r="D17" s="5"/>
      <c r="H17" s="1">
        <v>0.25</v>
      </c>
      <c r="K17" t="s">
        <v>82</v>
      </c>
      <c r="L17" s="6">
        <v>0.14000000000000001</v>
      </c>
      <c r="M17" t="s">
        <v>33</v>
      </c>
      <c r="N17" t="s">
        <v>36</v>
      </c>
      <c r="O17">
        <v>85</v>
      </c>
      <c r="P17" s="65">
        <v>0</v>
      </c>
      <c r="Q17" s="1">
        <v>0.2</v>
      </c>
      <c r="R17" s="1">
        <v>0.06</v>
      </c>
      <c r="S17" s="1">
        <v>0.01</v>
      </c>
      <c r="T17" s="1">
        <v>0.01</v>
      </c>
      <c r="U17" s="1">
        <v>0.01</v>
      </c>
      <c r="V17" s="1">
        <v>0.01</v>
      </c>
    </row>
    <row r="18" spans="2:22" x14ac:dyDescent="0.45">
      <c r="B18" t="s">
        <v>13</v>
      </c>
      <c r="D18">
        <f>VLOOKUP(dane!C13,obliczenia!H1:I9,2)-1</f>
        <v>47</v>
      </c>
      <c r="H18" s="1">
        <v>0.3</v>
      </c>
      <c r="K18" t="s">
        <v>83</v>
      </c>
      <c r="L18" s="6">
        <v>0.1</v>
      </c>
      <c r="M18" t="s">
        <v>34</v>
      </c>
      <c r="N18" t="s">
        <v>36</v>
      </c>
      <c r="O18">
        <v>120</v>
      </c>
      <c r="P18" s="65">
        <v>0</v>
      </c>
      <c r="Q18" s="65">
        <v>0</v>
      </c>
      <c r="R18" s="1">
        <v>0.25</v>
      </c>
      <c r="S18" s="1">
        <v>0.15</v>
      </c>
      <c r="T18" s="1">
        <v>0.01</v>
      </c>
      <c r="U18" s="1">
        <v>0.01</v>
      </c>
      <c r="V18" s="1">
        <v>0.01</v>
      </c>
    </row>
    <row r="19" spans="2:22" x14ac:dyDescent="0.45">
      <c r="B19" t="s">
        <v>46</v>
      </c>
      <c r="D19" s="6">
        <v>0.09</v>
      </c>
      <c r="E19" s="10">
        <f>D19/12</f>
        <v>7.4999999999999997E-3</v>
      </c>
      <c r="H19" s="1">
        <v>0.35</v>
      </c>
      <c r="L19" s="51">
        <v>24</v>
      </c>
      <c r="M19">
        <v>36</v>
      </c>
      <c r="N19">
        <v>48</v>
      </c>
      <c r="O19">
        <v>60</v>
      </c>
      <c r="P19">
        <v>72</v>
      </c>
      <c r="Q19">
        <v>84</v>
      </c>
      <c r="R19">
        <v>96</v>
      </c>
    </row>
    <row r="20" spans="2:22" x14ac:dyDescent="0.45">
      <c r="B20" t="s">
        <v>45</v>
      </c>
      <c r="D20" s="5">
        <f>D6-D15</f>
        <v>135000</v>
      </c>
      <c r="H20" s="1">
        <v>0.4</v>
      </c>
      <c r="K20" t="s">
        <v>68</v>
      </c>
      <c r="L20" s="1">
        <v>0.19</v>
      </c>
      <c r="M20" s="1">
        <v>0.01</v>
      </c>
      <c r="N20" s="1">
        <v>0.01</v>
      </c>
      <c r="O20" s="1">
        <v>0.01</v>
      </c>
      <c r="P20" s="1">
        <v>0.01</v>
      </c>
      <c r="Q20" s="1">
        <v>0.01</v>
      </c>
      <c r="R20" s="1">
        <v>0.01</v>
      </c>
    </row>
    <row r="21" spans="2:22" x14ac:dyDescent="0.45">
      <c r="B21" t="s">
        <v>42</v>
      </c>
      <c r="D21" s="4">
        <f>(D20*E19*POWER(1+E19,D18)-D22*E19)/(POWER(1+E19,D18)-1)</f>
        <v>3258.4908502623271</v>
      </c>
      <c r="E21" s="5">
        <f>D21/1.23</f>
        <v>2649.1795530588024</v>
      </c>
      <c r="F21" s="5">
        <f>D21-E21</f>
        <v>609.31129720352465</v>
      </c>
      <c r="H21" s="1">
        <v>0.45</v>
      </c>
      <c r="K21" t="s">
        <v>69</v>
      </c>
      <c r="L21" s="1">
        <v>0.19</v>
      </c>
      <c r="M21" s="1">
        <v>0.01</v>
      </c>
      <c r="N21" s="1">
        <v>0.01</v>
      </c>
      <c r="O21" s="1">
        <v>0.01</v>
      </c>
      <c r="P21" s="1">
        <v>0.01</v>
      </c>
      <c r="Q21" s="1">
        <v>0.01</v>
      </c>
      <c r="R21" s="1">
        <v>0.01</v>
      </c>
    </row>
    <row r="22" spans="2:22" x14ac:dyDescent="0.45">
      <c r="B22" t="s">
        <v>1</v>
      </c>
      <c r="D22" s="4">
        <f>dane!C20*D6</f>
        <v>9000</v>
      </c>
      <c r="E22" s="5">
        <f>D22/1.23</f>
        <v>7317.0731707317073</v>
      </c>
      <c r="F22" s="5">
        <f>D22-E22</f>
        <v>1682.9268292682927</v>
      </c>
      <c r="K22" t="s">
        <v>70</v>
      </c>
      <c r="L22">
        <v>0</v>
      </c>
      <c r="M22" s="1">
        <v>0.2</v>
      </c>
      <c r="N22" s="1">
        <v>0.06</v>
      </c>
      <c r="O22" s="1">
        <v>0.01</v>
      </c>
      <c r="P22" s="1">
        <v>0.01</v>
      </c>
      <c r="Q22" s="1">
        <v>0.01</v>
      </c>
      <c r="R22" s="1">
        <v>0.01</v>
      </c>
    </row>
    <row r="23" spans="2:22" x14ac:dyDescent="0.45">
      <c r="J23">
        <f>MATCH(D25,K19:R19,0)</f>
        <v>4</v>
      </c>
      <c r="K23" t="s">
        <v>71</v>
      </c>
      <c r="L23">
        <v>0</v>
      </c>
      <c r="M23" s="1">
        <v>0.2</v>
      </c>
      <c r="N23" s="1">
        <v>0.06</v>
      </c>
      <c r="O23" s="1">
        <v>0.01</v>
      </c>
      <c r="P23" s="1">
        <v>0.01</v>
      </c>
      <c r="Q23" s="1">
        <v>0.01</v>
      </c>
      <c r="R23" s="1">
        <v>0.01</v>
      </c>
    </row>
    <row r="24" spans="2:22" x14ac:dyDescent="0.45">
      <c r="B24" t="s">
        <v>5</v>
      </c>
      <c r="K24" t="s">
        <v>72</v>
      </c>
      <c r="L24">
        <v>0</v>
      </c>
      <c r="M24" s="1">
        <v>0.2</v>
      </c>
      <c r="N24" s="1">
        <v>0.06</v>
      </c>
      <c r="O24" s="1">
        <v>0.01</v>
      </c>
      <c r="P24" s="1">
        <v>0.01</v>
      </c>
      <c r="Q24" s="1">
        <v>0.01</v>
      </c>
      <c r="R24" s="1">
        <v>0.01</v>
      </c>
    </row>
    <row r="25" spans="2:22" x14ac:dyDescent="0.45">
      <c r="B25" t="s">
        <v>40</v>
      </c>
      <c r="D25">
        <f>VLOOKUP(dane!C13,obliczenia!H1:I9,2)</f>
        <v>48</v>
      </c>
      <c r="J25">
        <f>MATCH(dane!C8,K19:K35,0)</f>
        <v>10</v>
      </c>
      <c r="K25" t="s">
        <v>73</v>
      </c>
      <c r="L25" s="1">
        <v>0.19</v>
      </c>
      <c r="M25" s="1">
        <v>0.01</v>
      </c>
      <c r="N25" s="1">
        <v>0.01</v>
      </c>
      <c r="O25" s="1">
        <v>0.01</v>
      </c>
      <c r="P25" s="1">
        <v>0.01</v>
      </c>
      <c r="Q25" s="1">
        <v>0.01</v>
      </c>
      <c r="R25" s="1">
        <v>0.01</v>
      </c>
    </row>
    <row r="26" spans="2:22" x14ac:dyDescent="0.45">
      <c r="B26" t="s">
        <v>47</v>
      </c>
      <c r="D26" s="1">
        <f>dane!C16</f>
        <v>0.09</v>
      </c>
      <c r="E26" s="10">
        <f>D26/12</f>
        <v>7.4999999999999997E-3</v>
      </c>
      <c r="K26" t="s">
        <v>74</v>
      </c>
      <c r="L26" s="1">
        <v>0.19</v>
      </c>
      <c r="M26" s="1">
        <v>0.01</v>
      </c>
      <c r="N26" s="1">
        <v>0.01</v>
      </c>
      <c r="O26" s="1">
        <v>0.01</v>
      </c>
      <c r="P26" s="1">
        <v>0.01</v>
      </c>
      <c r="Q26" s="1">
        <v>0.01</v>
      </c>
      <c r="R26" s="1">
        <v>0.01</v>
      </c>
    </row>
    <row r="27" spans="2:22" x14ac:dyDescent="0.45">
      <c r="B27" t="s">
        <v>12</v>
      </c>
      <c r="D27" s="5">
        <f>D6-D15+D28</f>
        <v>141000</v>
      </c>
      <c r="K27" t="s">
        <v>75</v>
      </c>
      <c r="L27">
        <v>0</v>
      </c>
      <c r="M27" s="1">
        <v>0.2</v>
      </c>
      <c r="N27" s="1">
        <v>0.06</v>
      </c>
      <c r="O27" s="1">
        <v>0.01</v>
      </c>
      <c r="P27" s="1">
        <v>0.01</v>
      </c>
      <c r="Q27" s="1">
        <v>0.01</v>
      </c>
      <c r="R27" s="1">
        <v>0.01</v>
      </c>
    </row>
    <row r="28" spans="2:22" x14ac:dyDescent="0.45">
      <c r="B28" t="s">
        <v>44</v>
      </c>
      <c r="D28" s="5">
        <f>D6*dane!C17</f>
        <v>6000</v>
      </c>
      <c r="K28" t="s">
        <v>76</v>
      </c>
      <c r="L28">
        <v>0</v>
      </c>
      <c r="M28" s="1">
        <v>0.2</v>
      </c>
      <c r="N28" s="1">
        <v>0.06</v>
      </c>
      <c r="O28" s="1">
        <v>0.01</v>
      </c>
      <c r="P28" s="1">
        <v>0.01</v>
      </c>
      <c r="Q28" s="1">
        <v>0.01</v>
      </c>
      <c r="R28" s="1">
        <v>0.01</v>
      </c>
    </row>
    <row r="29" spans="2:22" x14ac:dyDescent="0.45">
      <c r="B29" t="s">
        <v>43</v>
      </c>
      <c r="D29" s="4">
        <f>PMT(E26,D25,-D27)</f>
        <v>3508.7909747247236</v>
      </c>
      <c r="K29" t="s">
        <v>77</v>
      </c>
      <c r="L29" s="1">
        <v>0.19</v>
      </c>
      <c r="M29" s="1">
        <v>0.01</v>
      </c>
      <c r="N29" s="1">
        <v>0.01</v>
      </c>
      <c r="O29" s="1">
        <v>0.01</v>
      </c>
      <c r="P29" s="1">
        <v>0.01</v>
      </c>
      <c r="Q29" s="1">
        <v>0.01</v>
      </c>
      <c r="R29" s="1">
        <v>0.01</v>
      </c>
    </row>
    <row r="30" spans="2:22" x14ac:dyDescent="0.45">
      <c r="K30" t="s">
        <v>78</v>
      </c>
      <c r="L30" s="65">
        <v>0</v>
      </c>
      <c r="M30" s="1">
        <v>0.2</v>
      </c>
      <c r="N30" s="1">
        <v>0.06</v>
      </c>
      <c r="O30" s="1">
        <v>0.01</v>
      </c>
      <c r="P30" s="1">
        <v>0.01</v>
      </c>
      <c r="Q30" s="1">
        <v>0.01</v>
      </c>
      <c r="R30" s="1">
        <v>0.01</v>
      </c>
    </row>
    <row r="31" spans="2:22" x14ac:dyDescent="0.45">
      <c r="K31" t="s">
        <v>79</v>
      </c>
      <c r="L31" s="65">
        <v>0</v>
      </c>
      <c r="M31" s="1">
        <v>0.2</v>
      </c>
      <c r="N31" s="1">
        <v>0.06</v>
      </c>
      <c r="O31" s="1">
        <v>0.01</v>
      </c>
      <c r="P31" s="1">
        <v>0.01</v>
      </c>
      <c r="Q31" s="1">
        <v>0.01</v>
      </c>
      <c r="R31" s="1">
        <v>0.01</v>
      </c>
    </row>
    <row r="32" spans="2:22" x14ac:dyDescent="0.45">
      <c r="K32" t="s">
        <v>80</v>
      </c>
      <c r="L32" s="1">
        <v>0.19</v>
      </c>
      <c r="M32" s="1">
        <v>0.01</v>
      </c>
      <c r="N32" s="1">
        <v>0.01</v>
      </c>
      <c r="O32" s="1">
        <v>0.01</v>
      </c>
      <c r="P32" s="1">
        <v>0.01</v>
      </c>
      <c r="Q32" s="1">
        <v>0.01</v>
      </c>
      <c r="R32" s="1">
        <v>0.01</v>
      </c>
    </row>
    <row r="33" spans="2:18" x14ac:dyDescent="0.45">
      <c r="K33" t="s">
        <v>81</v>
      </c>
      <c r="L33" s="65">
        <v>0</v>
      </c>
      <c r="M33" s="1">
        <v>0.2</v>
      </c>
      <c r="N33" s="1">
        <v>0.06</v>
      </c>
      <c r="O33" s="1">
        <v>0.01</v>
      </c>
      <c r="P33" s="1">
        <v>0.01</v>
      </c>
      <c r="Q33" s="1">
        <v>0.01</v>
      </c>
      <c r="R33" s="1">
        <v>0.01</v>
      </c>
    </row>
    <row r="34" spans="2:18" x14ac:dyDescent="0.45">
      <c r="K34" t="s">
        <v>82</v>
      </c>
      <c r="L34" s="65">
        <v>0</v>
      </c>
      <c r="M34" s="1">
        <v>0.2</v>
      </c>
      <c r="N34" s="1">
        <v>0.06</v>
      </c>
      <c r="O34" s="1">
        <v>0.01</v>
      </c>
      <c r="P34" s="1">
        <v>0.01</v>
      </c>
      <c r="Q34" s="1">
        <v>0.01</v>
      </c>
      <c r="R34" s="1">
        <v>0.01</v>
      </c>
    </row>
    <row r="35" spans="2:18" x14ac:dyDescent="0.45">
      <c r="K35" t="s">
        <v>83</v>
      </c>
      <c r="L35" s="65">
        <v>0</v>
      </c>
      <c r="M35" s="65">
        <v>0</v>
      </c>
      <c r="N35" s="1">
        <v>0.25</v>
      </c>
      <c r="O35" s="1">
        <v>0.15</v>
      </c>
      <c r="P35" s="1">
        <v>0.01</v>
      </c>
      <c r="Q35" s="1">
        <v>0.01</v>
      </c>
      <c r="R35" s="1">
        <v>0.01</v>
      </c>
    </row>
    <row r="36" spans="2:18" x14ac:dyDescent="0.45">
      <c r="L36" s="1"/>
    </row>
    <row r="37" spans="2:18" x14ac:dyDescent="0.45">
      <c r="C37" t="s">
        <v>4</v>
      </c>
      <c r="H37" t="s">
        <v>5</v>
      </c>
      <c r="M37" t="s">
        <v>6</v>
      </c>
    </row>
    <row r="38" spans="2:18" ht="28.5" x14ac:dyDescent="0.45">
      <c r="C38" s="3" t="s">
        <v>11</v>
      </c>
      <c r="D38" s="3" t="s">
        <v>30</v>
      </c>
      <c r="E38" s="3" t="s">
        <v>9</v>
      </c>
      <c r="F38" s="3" t="s">
        <v>15</v>
      </c>
      <c r="G38" s="3" t="s">
        <v>8</v>
      </c>
      <c r="H38" s="3" t="s">
        <v>11</v>
      </c>
      <c r="I38" s="3" t="s">
        <v>30</v>
      </c>
      <c r="J38" s="3" t="s">
        <v>9</v>
      </c>
      <c r="K38" s="3" t="s">
        <v>15</v>
      </c>
      <c r="L38" s="3" t="s">
        <v>8</v>
      </c>
      <c r="M38" s="3" t="s">
        <v>11</v>
      </c>
      <c r="N38" s="3" t="s">
        <v>30</v>
      </c>
      <c r="O38" s="3" t="s">
        <v>9</v>
      </c>
      <c r="P38" s="3" t="s">
        <v>15</v>
      </c>
      <c r="Q38" s="3" t="s">
        <v>8</v>
      </c>
    </row>
    <row r="39" spans="2:18" x14ac:dyDescent="0.45">
      <c r="B39" t="s">
        <v>3</v>
      </c>
      <c r="C39" t="s">
        <v>53</v>
      </c>
      <c r="D39" s="5">
        <f>D6</f>
        <v>150000</v>
      </c>
      <c r="E39">
        <v>0</v>
      </c>
      <c r="F39" s="5">
        <f>D8</f>
        <v>28048.780487804877</v>
      </c>
      <c r="G39">
        <v>0</v>
      </c>
      <c r="H39" t="s">
        <v>53</v>
      </c>
      <c r="I39" s="4">
        <f>dane!C14*D6</f>
        <v>15000</v>
      </c>
      <c r="J39" s="5">
        <f>D28</f>
        <v>6000</v>
      </c>
      <c r="K39" s="5">
        <f>D8</f>
        <v>28048.780487804877</v>
      </c>
      <c r="L39" s="5">
        <f>J39*dane!C12</f>
        <v>1140</v>
      </c>
      <c r="M39" t="s">
        <v>53</v>
      </c>
      <c r="N39" s="5">
        <f>D15</f>
        <v>15000</v>
      </c>
      <c r="O39" s="5">
        <f>E15</f>
        <v>12195.121951219513</v>
      </c>
      <c r="P39" s="5">
        <f>F15</f>
        <v>2804.878048780487</v>
      </c>
      <c r="Q39" s="5">
        <f>O39*dane!C12</f>
        <v>2317.0731707317077</v>
      </c>
    </row>
    <row r="40" spans="2:18" x14ac:dyDescent="0.45">
      <c r="B40" t="s">
        <v>7</v>
      </c>
      <c r="C40" s="11" t="str">
        <f>CONCATENATE(D25," x")</f>
        <v>48 x</v>
      </c>
      <c r="D40">
        <v>0</v>
      </c>
      <c r="E40" s="4">
        <f>IF(D25&lt;=VLOOKUP("dane!dane!C4",K3:O18,5),D7*E10*D25,D7)</f>
        <v>68292.682926829264</v>
      </c>
      <c r="F40">
        <v>0</v>
      </c>
      <c r="G40" s="5">
        <f>E40*dane!C12</f>
        <v>12975.60975609756</v>
      </c>
      <c r="H40" t="str">
        <f>CONCATENATE(D25," x")</f>
        <v>48 x</v>
      </c>
      <c r="I40" s="5">
        <f>D29</f>
        <v>3508.7909747247236</v>
      </c>
      <c r="J40" s="4">
        <f>IF(D25&lt;=VLOOKUP("dane!dane!C4",K3:O18,5),D7*E10*D25,D7)+D29*D25-D27</f>
        <v>95714.649713616003</v>
      </c>
      <c r="K40">
        <v>0</v>
      </c>
      <c r="L40" s="5">
        <f>J40*dane!C12</f>
        <v>18185.78344558704</v>
      </c>
      <c r="M40" t="str">
        <f>CONCATENATE(D18," x")</f>
        <v>47 x</v>
      </c>
      <c r="N40" s="5">
        <f>D21</f>
        <v>3258.4908502623271</v>
      </c>
      <c r="O40" s="5">
        <f>D18*E21</f>
        <v>124511.43899376372</v>
      </c>
      <c r="P40" s="5">
        <f>IF(dane!C8="tak",D18*F21,D18*F21/2)</f>
        <v>14318.81548428283</v>
      </c>
      <c r="Q40" s="5">
        <f>O40*dane!C12</f>
        <v>23657.173408815106</v>
      </c>
    </row>
    <row r="41" spans="2:18" x14ac:dyDescent="0.45">
      <c r="B41" t="s">
        <v>1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 t="s">
        <v>53</v>
      </c>
      <c r="N41" s="5">
        <f>D22</f>
        <v>9000</v>
      </c>
      <c r="O41" s="4">
        <f>IF(E22&gt;10000,0,E22)</f>
        <v>7317.0731707317073</v>
      </c>
      <c r="P41" s="5">
        <f>F22</f>
        <v>1682.9268292682927</v>
      </c>
      <c r="Q41" s="4">
        <f>O41*dane!C12</f>
        <v>1390.2439024390244</v>
      </c>
    </row>
    <row r="42" spans="2:18" x14ac:dyDescent="0.45">
      <c r="B42" t="s">
        <v>52</v>
      </c>
      <c r="D42" s="5">
        <f>SUM(D39:D41)</f>
        <v>150000</v>
      </c>
      <c r="E42" s="4">
        <f>SUM(E39:E41)</f>
        <v>68292.682926829264</v>
      </c>
      <c r="F42" s="5">
        <f>SUM(F39:F41)</f>
        <v>28048.780487804877</v>
      </c>
      <c r="G42" s="4">
        <f>SUM(G39:G41)</f>
        <v>12975.60975609756</v>
      </c>
      <c r="I42" s="5">
        <f>I39+I40*D25+I41</f>
        <v>183421.96678678674</v>
      </c>
      <c r="J42" s="5">
        <f t="shared" ref="J42:L42" si="0">SUM(J39:J41)</f>
        <v>101714.649713616</v>
      </c>
      <c r="K42" s="5">
        <f t="shared" si="0"/>
        <v>28048.780487804877</v>
      </c>
      <c r="L42" s="5">
        <f t="shared" si="0"/>
        <v>19325.78344558704</v>
      </c>
      <c r="N42" s="5">
        <f>N39+N40*D18+N41</f>
        <v>177149.06996232938</v>
      </c>
      <c r="O42" s="5">
        <f t="shared" ref="O42" si="1">SUM(O39:O41)</f>
        <v>144023.63411571496</v>
      </c>
      <c r="P42" s="5">
        <f>SUM(P39:P41)</f>
        <v>18806.620362331611</v>
      </c>
      <c r="Q42" s="5">
        <f>SUM(Q39:Q41)</f>
        <v>27364.490481985838</v>
      </c>
    </row>
    <row r="43" spans="2:18" x14ac:dyDescent="0.45">
      <c r="B43" t="s">
        <v>59</v>
      </c>
      <c r="D43" s="5">
        <f>D42-F42-G42</f>
        <v>108975.60975609756</v>
      </c>
      <c r="I43" s="5">
        <f>I42-K42-L42</f>
        <v>136047.40285339483</v>
      </c>
      <c r="N43" s="5">
        <f>N42-P42-Q42</f>
        <v>130977.95911801195</v>
      </c>
    </row>
    <row r="45" spans="2:18" x14ac:dyDescent="0.45">
      <c r="D45" s="5"/>
      <c r="E45" s="5"/>
      <c r="F45" s="5"/>
      <c r="G45" s="5"/>
      <c r="I45" s="5"/>
      <c r="J45" s="5"/>
      <c r="K45" s="5"/>
      <c r="L45" s="5"/>
      <c r="N45" s="5"/>
      <c r="O45" s="5"/>
    </row>
    <row r="46" spans="2:18" x14ac:dyDescent="0.45">
      <c r="D46" s="5"/>
      <c r="I46" s="5"/>
      <c r="N46" s="5"/>
    </row>
    <row r="47" spans="2:18" x14ac:dyDescent="0.45">
      <c r="P47" s="5"/>
      <c r="Q47" s="5"/>
    </row>
    <row r="48" spans="2:18" x14ac:dyDescent="0.45">
      <c r="D48" s="5"/>
      <c r="I48" s="5"/>
      <c r="N4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</vt:lpstr>
      <vt:lpstr>obliczenia</vt:lpstr>
    </vt:vector>
  </TitlesOfParts>
  <Company>leasingexpert.pl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porównanie kredyt - leasing - leasingexpert.pl</dc:title>
  <dc:subject>porównanie kosztów kredytu i leasingu</dc:subject>
  <dc:creator>TT</dc:creator>
  <cp:lastModifiedBy>Tomasz Tutka</cp:lastModifiedBy>
  <cp:lastPrinted>2019-04-23T08:05:06Z</cp:lastPrinted>
  <dcterms:created xsi:type="dcterms:W3CDTF">2019-04-12T08:46:33Z</dcterms:created>
  <dcterms:modified xsi:type="dcterms:W3CDTF">2019-04-23T14:51:50Z</dcterms:modified>
  <cp:category>kalkulator</cp:category>
</cp:coreProperties>
</file>