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wk\Desktop\wwwle\"/>
    </mc:Choice>
  </mc:AlternateContent>
  <xr:revisionPtr revIDLastSave="0" documentId="13_ncr:1_{CD760E3D-BCCE-493B-905A-CDCDF386516F}" xr6:coauthVersionLast="43" xr6:coauthVersionMax="43" xr10:uidLastSave="{00000000-0000-0000-0000-000000000000}"/>
  <workbookProtection workbookAlgorithmName="SHA-512" workbookHashValue="GoYx6QKCQIe5CEoptRBIh9SkrkXOknzxp+gKMPgiiKDDcQELSZzd8Ls3kWwHqoAPgYhnweeqP7nV6SwthR0zXQ==" workbookSaltValue="Ypv4mjLXGsANdnUcjmCyIg==" workbookSpinCount="100000" lockStructure="1"/>
  <bookViews>
    <workbookView xWindow="-98" yWindow="-98" windowWidth="19396" windowHeight="10395" xr2:uid="{18E98FB1-5007-47BC-A2C8-07D9E303D9EE}"/>
  </bookViews>
  <sheets>
    <sheet name="dane" sheetId="3" r:id="rId1"/>
    <sheet name="obliczenia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K6" i="2" l="1"/>
  <c r="F47" i="3" s="1"/>
  <c r="F36" i="3" l="1"/>
  <c r="F26" i="3"/>
  <c r="F33" i="3"/>
  <c r="G22" i="3"/>
  <c r="F23" i="3"/>
  <c r="E22" i="3"/>
  <c r="D23" i="3"/>
  <c r="C44" i="3"/>
  <c r="C42" i="3"/>
  <c r="C32" i="3"/>
  <c r="C22" i="3"/>
  <c r="E21" i="2"/>
  <c r="D28" i="2"/>
  <c r="E28" i="2" s="1"/>
  <c r="D20" i="2" l="1"/>
  <c r="D27" i="2"/>
  <c r="D8" i="2"/>
  <c r="M40" i="2" l="1"/>
  <c r="C43" i="3" s="1"/>
  <c r="H40" i="2"/>
  <c r="C33" i="3" s="1"/>
  <c r="D45" i="2"/>
  <c r="C40" i="2"/>
  <c r="I39" i="2"/>
  <c r="D39" i="2"/>
  <c r="F16" i="3"/>
  <c r="D17" i="2"/>
  <c r="D30" i="2"/>
  <c r="J39" i="2" s="1"/>
  <c r="D24" i="2"/>
  <c r="F13" i="3"/>
  <c r="D9" i="2"/>
  <c r="E3" i="3" s="1"/>
  <c r="I45" i="2" l="1"/>
  <c r="D37" i="3" s="1"/>
  <c r="G45" i="2"/>
  <c r="D27" i="3"/>
  <c r="D13" i="2"/>
  <c r="N39" i="2"/>
  <c r="E17" i="2"/>
  <c r="F17" i="2" s="1"/>
  <c r="P39" i="2" s="1"/>
  <c r="D42" i="2"/>
  <c r="D24" i="3" s="1"/>
  <c r="D22" i="3"/>
  <c r="D32" i="3"/>
  <c r="N41" i="2"/>
  <c r="D44" i="3" s="1"/>
  <c r="E24" i="2"/>
  <c r="L39" i="2"/>
  <c r="E32" i="3"/>
  <c r="D29" i="2"/>
  <c r="D31" i="2" s="1"/>
  <c r="I40" i="2" s="1"/>
  <c r="D33" i="3" s="1"/>
  <c r="D22" i="2"/>
  <c r="D23" i="2" s="1"/>
  <c r="D10" i="2"/>
  <c r="L45" i="2" l="1"/>
  <c r="G27" i="3"/>
  <c r="N45" i="2"/>
  <c r="F39" i="2"/>
  <c r="K39" i="2"/>
  <c r="F24" i="2"/>
  <c r="O41" i="2" s="1"/>
  <c r="I42" i="2"/>
  <c r="D34" i="3" s="1"/>
  <c r="F42" i="3"/>
  <c r="E23" i="2"/>
  <c r="F23" i="2" s="1"/>
  <c r="N40" i="2"/>
  <c r="D43" i="3" s="1"/>
  <c r="F3" i="3"/>
  <c r="D12" i="2"/>
  <c r="G32" i="3"/>
  <c r="D42" i="3"/>
  <c r="E6" i="2"/>
  <c r="E5" i="2"/>
  <c r="O39" i="2" l="1"/>
  <c r="D15" i="2"/>
  <c r="D14" i="2" s="1"/>
  <c r="E45" i="2" s="1"/>
  <c r="E44" i="3"/>
  <c r="Q41" i="2"/>
  <c r="G44" i="3" s="1"/>
  <c r="O45" i="2"/>
  <c r="D48" i="3"/>
  <c r="Q45" i="2"/>
  <c r="G48" i="3" s="1"/>
  <c r="G37" i="3"/>
  <c r="F12" i="2"/>
  <c r="P41" i="2"/>
  <c r="F44" i="3" s="1"/>
  <c r="P40" i="2"/>
  <c r="N42" i="2"/>
  <c r="D45" i="3" s="1"/>
  <c r="Q39" i="2"/>
  <c r="E42" i="3"/>
  <c r="C7" i="3"/>
  <c r="E40" i="2"/>
  <c r="J40" i="2"/>
  <c r="F22" i="3"/>
  <c r="F42" i="2"/>
  <c r="F24" i="3" s="1"/>
  <c r="O40" i="2"/>
  <c r="O42" i="2" s="1"/>
  <c r="E45" i="3" s="1"/>
  <c r="K42" i="2"/>
  <c r="F34" i="3" s="1"/>
  <c r="F32" i="3"/>
  <c r="E27" i="3" l="1"/>
  <c r="F45" i="2"/>
  <c r="J45" i="2"/>
  <c r="E37" i="3" s="1"/>
  <c r="P45" i="2"/>
  <c r="E48" i="3"/>
  <c r="P42" i="2"/>
  <c r="F45" i="3" s="1"/>
  <c r="F43" i="3"/>
  <c r="L40" i="2"/>
  <c r="E33" i="3"/>
  <c r="J42" i="2"/>
  <c r="E34" i="3" s="1"/>
  <c r="E43" i="3"/>
  <c r="Q40" i="2"/>
  <c r="G43" i="3" s="1"/>
  <c r="G40" i="2"/>
  <c r="E23" i="3"/>
  <c r="E42" i="2"/>
  <c r="E24" i="3" s="1"/>
  <c r="G42" i="3"/>
  <c r="F27" i="3" l="1"/>
  <c r="K45" i="2"/>
  <c r="D46" i="2"/>
  <c r="D28" i="3" s="1"/>
  <c r="N46" i="2"/>
  <c r="D49" i="3" s="1"/>
  <c r="F48" i="3"/>
  <c r="Q42" i="2"/>
  <c r="G42" i="2"/>
  <c r="G23" i="3"/>
  <c r="G33" i="3"/>
  <c r="L42" i="2"/>
  <c r="F37" i="3" l="1"/>
  <c r="I46" i="2"/>
  <c r="D38" i="3" s="1"/>
  <c r="G24" i="3"/>
  <c r="D43" i="2"/>
  <c r="G34" i="3"/>
  <c r="I43" i="2"/>
  <c r="G45" i="3"/>
  <c r="N43" i="2"/>
  <c r="D35" i="3" l="1"/>
  <c r="I48" i="2"/>
  <c r="D39" i="3" s="1"/>
  <c r="D25" i="3"/>
  <c r="D48" i="2"/>
  <c r="D29" i="3" s="1"/>
  <c r="D46" i="3"/>
  <c r="N48" i="2"/>
  <c r="D5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Tomasz Tutka</author>
  </authors>
  <commentList>
    <comment ref="B4" authorId="0" shapeId="0" xr:uid="{E00794AF-B055-404A-8A7D-F848C068C93C}">
      <text>
        <r>
          <rPr>
            <sz val="9"/>
            <color indexed="81"/>
            <rFont val="Tahoma"/>
            <charset val="1"/>
          </rPr>
          <t xml:space="preserve">Użytek wyłacznie firmowy umożliwa odliczenie 100% VAT, przy konieczności prowadzenia ewidencji przebiegu. Użytek mieszany umożliwia odliczenie 50% VAT, bez konieczności prowadzenia ewidencji przebiegu.
</t>
        </r>
      </text>
    </comment>
    <comment ref="E5" authorId="0" shapeId="0" xr:uid="{AB90DBB3-01DF-4590-85E1-2EE98B72E39F}">
      <text>
        <r>
          <rPr>
            <sz val="9"/>
            <color indexed="81"/>
            <rFont val="Tahoma"/>
            <charset val="1"/>
          </rPr>
          <t xml:space="preserve">Nowe przepisy (po 01.01.2019) określają limit do jakiego można zaliczać w koszty wydatki związane z nabyciem samochodu osobowego: elektryczne 225 000 zł, pozostałe 150 000 zł.
</t>
        </r>
      </text>
    </comment>
    <comment ref="B7" authorId="0" shapeId="0" xr:uid="{9C9F5E6F-02AB-4980-9BBE-888C64D2430E}">
      <text>
        <r>
          <rPr>
            <sz val="9"/>
            <color indexed="81"/>
            <rFont val="Tahoma"/>
            <charset val="1"/>
          </rPr>
          <t>Proporcja okresljąca jaką część poniesionych kosztów można zaliczyć do kosztów uzyskania przychodu - limit kosztów / wartość netto samochodu</t>
        </r>
      </text>
    </comment>
    <comment ref="B9" authorId="0" shapeId="0" xr:uid="{0523B4DD-76BB-498A-84A1-E20D64165C7D}">
      <text>
        <r>
          <rPr>
            <sz val="9"/>
            <color indexed="81"/>
            <rFont val="Tahoma"/>
            <charset val="1"/>
          </rPr>
          <t xml:space="preserve">Podatek PIT/CIT - 19%
Podatek CIT - 9% - dla małych firm i firm rozpoczynających działalność.
</t>
        </r>
      </text>
    </comment>
    <comment ref="B13" authorId="0" shapeId="0" xr:uid="{D7B7586C-3EAB-42CA-BA79-4F0530744328}">
      <text>
        <r>
          <rPr>
            <sz val="9"/>
            <color indexed="81"/>
            <rFont val="Tahoma"/>
            <charset val="1"/>
          </rPr>
          <t>Sprawdź w banku lub u dealera.</t>
        </r>
      </text>
    </comment>
    <comment ref="B14" authorId="0" shapeId="0" xr:uid="{BCE0B9F8-FB4B-44BA-BE0B-98BA15023587}">
      <text>
        <r>
          <rPr>
            <sz val="9"/>
            <color indexed="81"/>
            <rFont val="Tahoma"/>
            <charset val="1"/>
          </rPr>
          <t>Sprawdź w banku lub u dealera.</t>
        </r>
      </text>
    </comment>
    <comment ref="B16" authorId="0" shapeId="0" xr:uid="{131A7E8E-B53B-40F1-98FE-7F850CF9E605}">
      <text>
        <r>
          <rPr>
            <sz val="9"/>
            <color indexed="81"/>
            <rFont val="Tahoma"/>
            <charset val="1"/>
          </rPr>
          <t>Dla okresu 2 lata wykup minimum 19% dla innych minimum 1%.</t>
        </r>
      </text>
    </comment>
    <comment ref="G21" authorId="0" shapeId="0" xr:uid="{B0BD3BDB-7677-4ECF-894D-59A44381FB8B}">
      <text>
        <r>
          <rPr>
            <sz val="9"/>
            <color indexed="81"/>
            <rFont val="Tahoma"/>
            <family val="2"/>
            <charset val="238"/>
          </rPr>
          <t>Zmniejszenie podatku dochodowego PIT/CIT.</t>
        </r>
      </text>
    </comment>
    <comment ref="E23" authorId="0" shapeId="0" xr:uid="{BA98BAA9-3D7B-4776-BD7A-735485C4F11D}">
      <text>
        <r>
          <rPr>
            <sz val="9"/>
            <color indexed="81"/>
            <rFont val="Tahoma"/>
            <family val="2"/>
            <charset val="238"/>
          </rPr>
          <t>Amortyzacja + 50% VAT mieszczące się w limiecie kosztów.</t>
        </r>
      </text>
    </comment>
    <comment ref="D25" authorId="0" shapeId="0" xr:uid="{692D2205-CE77-4B82-841B-B9869619ACBB}">
      <text>
        <r>
          <rPr>
            <sz val="9"/>
            <color indexed="81"/>
            <rFont val="Tahoma"/>
            <family val="2"/>
            <charset val="238"/>
          </rPr>
          <t>Wydatek pomniejszony o korzyści podatkowe i odliczony VAT.</t>
        </r>
      </text>
    </comment>
    <comment ref="D27" authorId="0" shapeId="0" xr:uid="{CA961F57-EA01-45D9-88B8-6B2C0BCC50F3}">
      <text>
        <r>
          <rPr>
            <sz val="9"/>
            <color indexed="81"/>
            <rFont val="Tahoma"/>
            <family val="2"/>
            <charset val="238"/>
          </rPr>
          <t>Teoretyczna wartość samochodu na koniec okresu porównania.</t>
        </r>
      </text>
    </comment>
    <comment ref="E27" authorId="0" shapeId="0" xr:uid="{9E148ABF-D5BA-4DFF-9E17-FF0CA7DB39F0}">
      <text>
        <r>
          <rPr>
            <sz val="9"/>
            <color indexed="81"/>
            <rFont val="Tahoma"/>
            <family val="2"/>
            <charset val="238"/>
          </rPr>
          <t>Przychód ze sprzedaży pomniejszony o niezamortyzowaną wartość samochodu w ramach limitu kosztów.</t>
        </r>
      </text>
    </comment>
    <comment ref="F27" authorId="0" shapeId="0" xr:uid="{2A4CB3AC-B6C8-466B-973F-28F500B045B8}">
      <text>
        <r>
          <rPr>
            <sz val="9"/>
            <color indexed="81"/>
            <rFont val="Tahoma"/>
            <family val="2"/>
            <charset val="238"/>
          </rPr>
          <t>Podatek dochodowy od sprzedaży.</t>
        </r>
      </text>
    </comment>
    <comment ref="G27" authorId="0" shapeId="0" xr:uid="{20001562-D41F-4C69-A462-D3A74E7EC491}">
      <text>
        <r>
          <rPr>
            <sz val="9"/>
            <color indexed="81"/>
            <rFont val="Tahoma"/>
            <family val="2"/>
            <charset val="238"/>
          </rPr>
          <t>VAT naliczony przy sprzedaży.</t>
        </r>
      </text>
    </comment>
    <comment ref="D28" authorId="0" shapeId="0" xr:uid="{4CA6CBC2-1C41-4572-A816-AEE5C066C591}">
      <text>
        <r>
          <rPr>
            <sz val="9"/>
            <color indexed="81"/>
            <rFont val="Tahoma"/>
            <family val="2"/>
            <charset val="238"/>
          </rPr>
          <t>Przychód ze sprzedaży po zapłaceniu podatków.</t>
        </r>
      </text>
    </comment>
    <comment ref="D29" authorId="0" shapeId="0" xr:uid="{34A24C64-9AFF-4E82-A7F1-F70363EB54C8}">
      <text>
        <r>
          <rPr>
            <sz val="9"/>
            <color indexed="81"/>
            <rFont val="Tahoma"/>
            <family val="2"/>
            <charset val="238"/>
          </rPr>
          <t>Efektywny wydatek pomniejszony o efektywny przychód ze sprzedaży samochodu.</t>
        </r>
      </text>
    </comment>
    <comment ref="G31" authorId="0" shapeId="0" xr:uid="{5CDA6C6B-B325-4DD7-8E44-27FF8DDF00F2}">
      <text>
        <r>
          <rPr>
            <sz val="9"/>
            <color indexed="81"/>
            <rFont val="Tahoma"/>
            <family val="2"/>
            <charset val="238"/>
          </rPr>
          <t>Zmniejszenie podatku dochodowego PIT/CIT.</t>
        </r>
      </text>
    </comment>
    <comment ref="D32" authorId="0" shapeId="0" xr:uid="{192574E6-3F7B-4285-93B5-9CD388B6D05F}">
      <text>
        <r>
          <rPr>
            <sz val="9"/>
            <color indexed="81"/>
            <rFont val="Tahoma"/>
            <family val="2"/>
            <charset val="238"/>
          </rPr>
          <t>Wkład własny.</t>
        </r>
      </text>
    </comment>
    <comment ref="E32" authorId="0" shapeId="0" xr:uid="{6963EE81-843D-47AA-B239-EAE75D0D7DE2}">
      <text>
        <r>
          <rPr>
            <sz val="9"/>
            <color indexed="81"/>
            <rFont val="Tahoma"/>
            <family val="2"/>
            <charset val="238"/>
          </rPr>
          <t>Prowizja od kredytu.</t>
        </r>
      </text>
    </comment>
    <comment ref="D33" authorId="0" shapeId="0" xr:uid="{1A26407B-30FB-45F8-8AA8-5899AEA5CBB0}">
      <text>
        <r>
          <rPr>
            <sz val="9"/>
            <color indexed="81"/>
            <rFont val="Tahoma"/>
            <family val="2"/>
            <charset val="238"/>
          </rPr>
          <t>Miesięczna rata kredytu.</t>
        </r>
      </text>
    </comment>
    <comment ref="E33" authorId="0" shapeId="0" xr:uid="{2BEEF29B-E2CE-4858-AF58-E5DC812BF88C}">
      <text>
        <r>
          <rPr>
            <sz val="9"/>
            <color indexed="81"/>
            <rFont val="Tahoma"/>
            <family val="2"/>
            <charset val="238"/>
          </rPr>
          <t>Amortyzacja + 50% VAT mieszczące się w limiecie kosztów + odsetki od kredytu.</t>
        </r>
      </text>
    </comment>
    <comment ref="D35" authorId="0" shapeId="0" xr:uid="{046D8001-D4D6-43C4-843D-77B4FDCD7C96}">
      <text>
        <r>
          <rPr>
            <sz val="9"/>
            <color indexed="81"/>
            <rFont val="Tahoma"/>
            <family val="2"/>
            <charset val="238"/>
          </rPr>
          <t>Wydatek pomniejszony o korzyści podatkowe i odliczony VAT.</t>
        </r>
      </text>
    </comment>
    <comment ref="D37" authorId="0" shapeId="0" xr:uid="{998530DF-2390-420B-A476-722D22C8B6B7}">
      <text>
        <r>
          <rPr>
            <sz val="9"/>
            <color indexed="81"/>
            <rFont val="Tahoma"/>
            <family val="2"/>
            <charset val="238"/>
          </rPr>
          <t>Teoretyczna wartość samochodu na koniec okresu porównania.</t>
        </r>
      </text>
    </comment>
    <comment ref="E37" authorId="0" shapeId="0" xr:uid="{2241D339-33EA-42FF-9960-12655D3743BC}">
      <text>
        <r>
          <rPr>
            <sz val="9"/>
            <color indexed="81"/>
            <rFont val="Tahoma"/>
            <family val="2"/>
            <charset val="238"/>
          </rPr>
          <t>Przychód ze sprzedaży pomniejszony o niezamortyzowaną wartość samochodu w ramach limitu kosztów.</t>
        </r>
      </text>
    </comment>
    <comment ref="F37" authorId="0" shapeId="0" xr:uid="{B1D53616-8C1F-43FB-A7D3-E26BCF9D48E1}">
      <text>
        <r>
          <rPr>
            <sz val="9"/>
            <color indexed="81"/>
            <rFont val="Tahoma"/>
            <family val="2"/>
            <charset val="238"/>
          </rPr>
          <t>Podatek dochodowy od sprzedaży.</t>
        </r>
      </text>
    </comment>
    <comment ref="G37" authorId="0" shapeId="0" xr:uid="{A54AEB0C-9AD2-4917-B732-14FCA118A35F}">
      <text>
        <r>
          <rPr>
            <sz val="9"/>
            <color indexed="81"/>
            <rFont val="Tahoma"/>
            <family val="2"/>
            <charset val="238"/>
          </rPr>
          <t>VAT naliczony przy sprzedaży.</t>
        </r>
      </text>
    </comment>
    <comment ref="D38" authorId="0" shapeId="0" xr:uid="{8583EDB9-57CA-4828-A078-25240E44DE6A}">
      <text>
        <r>
          <rPr>
            <sz val="9"/>
            <color indexed="81"/>
            <rFont val="Tahoma"/>
            <family val="2"/>
            <charset val="238"/>
          </rPr>
          <t>Przychód ze sprzedaży po zapłaceniu podatków.</t>
        </r>
      </text>
    </comment>
    <comment ref="D39" authorId="0" shapeId="0" xr:uid="{4BDDA92D-5534-46C0-B1CA-70C4853678AA}">
      <text>
        <r>
          <rPr>
            <sz val="9"/>
            <color indexed="81"/>
            <rFont val="Tahoma"/>
            <family val="2"/>
            <charset val="238"/>
          </rPr>
          <t>Efektywny wydatek pomniejszony o efektywny przychód ze sprzedaży samochodu.</t>
        </r>
      </text>
    </comment>
    <comment ref="G41" authorId="0" shapeId="0" xr:uid="{B8830D80-4CA3-447B-8CC4-E4521907A018}">
      <text>
        <r>
          <rPr>
            <sz val="9"/>
            <color indexed="81"/>
            <rFont val="Tahoma"/>
            <family val="2"/>
            <charset val="238"/>
          </rPr>
          <t>Zmniejszenie podatku dochodowego PIT/CIT.</t>
        </r>
      </text>
    </comment>
    <comment ref="D42" authorId="0" shapeId="0" xr:uid="{0CD833D5-A1B3-4FFC-9A39-5292CC553167}">
      <text>
        <r>
          <rPr>
            <sz val="9"/>
            <color indexed="81"/>
            <rFont val="Tahoma"/>
            <family val="2"/>
            <charset val="238"/>
          </rPr>
          <t>Wkład własny - czynsz inicjalny.</t>
        </r>
      </text>
    </comment>
    <comment ref="E42" authorId="0" shapeId="0" xr:uid="{966FAC56-089C-4A3A-A274-82383BA51701}">
      <text>
        <r>
          <rPr>
            <sz val="9"/>
            <color indexed="81"/>
            <rFont val="Tahoma"/>
            <family val="2"/>
            <charset val="238"/>
          </rPr>
          <t>Czynsz inicjalny + 50% VAT mieszczące się w limicie kosztów.</t>
        </r>
      </text>
    </comment>
    <comment ref="D43" authorId="0" shapeId="0" xr:uid="{050D38A6-A347-4A8E-AD7F-2C6A68EC3B30}">
      <text>
        <r>
          <rPr>
            <sz val="9"/>
            <color indexed="81"/>
            <rFont val="Tahoma"/>
            <family val="2"/>
            <charset val="238"/>
          </rPr>
          <t>Rata leasingowa.</t>
        </r>
      </text>
    </comment>
    <comment ref="E43" authorId="0" shapeId="0" xr:uid="{881DE516-32C9-4B50-A7F7-1DD942339AC2}">
      <text>
        <r>
          <rPr>
            <sz val="9"/>
            <color indexed="81"/>
            <rFont val="Tahoma"/>
            <family val="2"/>
            <charset val="238"/>
          </rPr>
          <t>Czynsze leasingowe + 50% VAT mieszczące się w limicie kosztów.</t>
        </r>
      </text>
    </comment>
    <comment ref="D44" authorId="0" shapeId="0" xr:uid="{D0E4B18C-68CC-45AC-AA3F-AEA896A6226D}">
      <text>
        <r>
          <rPr>
            <sz val="9"/>
            <color indexed="81"/>
            <rFont val="Tahoma"/>
            <family val="2"/>
            <charset val="238"/>
          </rPr>
          <t>Wykup po zakończeniu umowy. Osobna transakcja nie objęta limitem kosztów w ramach umowy.</t>
        </r>
      </text>
    </comment>
    <comment ref="E44" authorId="0" shapeId="0" xr:uid="{3CDD0255-6615-4D08-8D81-F580D2A6A79F}">
      <text>
        <r>
          <rPr>
            <sz val="9"/>
            <color indexed="81"/>
            <rFont val="Tahoma"/>
            <family val="2"/>
            <charset val="238"/>
          </rPr>
          <t>Koszty jak przy zakupie. Do 10 000 zł jednorazowa amortyzacja. Powyżej 10 000 zł limity jak przy zakupie.</t>
        </r>
      </text>
    </comment>
    <comment ref="D46" authorId="0" shapeId="0" xr:uid="{39741D84-ACE1-4E26-9D6E-E9BBB532F170}">
      <text>
        <r>
          <rPr>
            <sz val="9"/>
            <color indexed="81"/>
            <rFont val="Tahoma"/>
            <family val="2"/>
            <charset val="238"/>
          </rPr>
          <t>Wydatek pomniejszony o korzyści podatkowe i odliczony VAT.</t>
        </r>
      </text>
    </comment>
    <comment ref="D48" authorId="0" shapeId="0" xr:uid="{C6AFD8A8-5A16-4414-9FDA-BA9B63D24376}">
      <text>
        <r>
          <rPr>
            <sz val="9"/>
            <color indexed="81"/>
            <rFont val="Tahoma"/>
            <family val="2"/>
            <charset val="238"/>
          </rPr>
          <t>Teoretyczna wartość samochodu na koniec okresu porównania.</t>
        </r>
      </text>
    </comment>
    <comment ref="E48" authorId="0" shapeId="0" xr:uid="{258D7455-3E39-46F8-8DCD-0E158ABBD0EF}">
      <text>
        <r>
          <rPr>
            <sz val="9"/>
            <color indexed="81"/>
            <rFont val="Tahoma"/>
            <family val="2"/>
            <charset val="238"/>
          </rPr>
          <t>Przychód ze sprzedaży pomniejszony o koszty nabycia (wykup z umowy)</t>
        </r>
      </text>
    </comment>
    <comment ref="F48" authorId="0" shapeId="0" xr:uid="{B383B0EE-A13A-4FEA-BF53-652D150F6854}">
      <text>
        <r>
          <rPr>
            <sz val="9"/>
            <color indexed="81"/>
            <rFont val="Tahoma"/>
            <family val="2"/>
            <charset val="238"/>
          </rPr>
          <t>Podatek dochodowy od sprzedaży.</t>
        </r>
      </text>
    </comment>
    <comment ref="G48" authorId="0" shapeId="0" xr:uid="{AC8EAD38-44DC-4766-A025-A4BFAB1C51E7}">
      <text>
        <r>
          <rPr>
            <sz val="9"/>
            <color indexed="81"/>
            <rFont val="Tahoma"/>
            <family val="2"/>
            <charset val="238"/>
          </rPr>
          <t>VAT naliczony przy sprzedaży.</t>
        </r>
      </text>
    </comment>
    <comment ref="D49" authorId="0" shapeId="0" xr:uid="{DB2D7283-753B-4536-8642-DE5D77AAAF5C}">
      <text>
        <r>
          <rPr>
            <sz val="9"/>
            <color indexed="81"/>
            <rFont val="Tahoma"/>
            <family val="2"/>
            <charset val="238"/>
          </rPr>
          <t>Przychód ze sprzedaży po zapłaceniu podatków.</t>
        </r>
      </text>
    </comment>
    <comment ref="D50" authorId="0" shapeId="0" xr:uid="{34D1852F-CFE9-45DF-A69C-95CD328AC537}">
      <text>
        <r>
          <rPr>
            <sz val="9"/>
            <color indexed="81"/>
            <rFont val="Tahoma"/>
            <family val="2"/>
            <charset val="238"/>
          </rPr>
          <t>Efektywny wydatek pomniejszony o efektywny przychód ze sprzedaży samochodu.</t>
        </r>
      </text>
    </comment>
  </commentList>
</comments>
</file>

<file path=xl/sharedStrings.xml><?xml version="1.0" encoding="utf-8"?>
<sst xmlns="http://schemas.openxmlformats.org/spreadsheetml/2006/main" count="162" uniqueCount="95">
  <si>
    <t>elektryczny</t>
  </si>
  <si>
    <t>limit spalinowe</t>
  </si>
  <si>
    <t>limit elektryczne</t>
  </si>
  <si>
    <t>amortyzacja</t>
  </si>
  <si>
    <t>wykup</t>
  </si>
  <si>
    <t>okres</t>
  </si>
  <si>
    <t>wydatek początkowy</t>
  </si>
  <si>
    <t>gotówka</t>
  </si>
  <si>
    <t>kredyt</t>
  </si>
  <si>
    <t>leasing</t>
  </si>
  <si>
    <t>wydatki miesięczne</t>
  </si>
  <si>
    <t>korzyść podatkowa</t>
  </si>
  <si>
    <t>KUP</t>
  </si>
  <si>
    <t>Korzyść podatkowa</t>
  </si>
  <si>
    <t>ilość</t>
  </si>
  <si>
    <t>opr.leasing</t>
  </si>
  <si>
    <t>kredyt z umowy</t>
  </si>
  <si>
    <t>liośc rat umowy leasingu</t>
  </si>
  <si>
    <t>vat</t>
  </si>
  <si>
    <t>odliczenie VAT</t>
  </si>
  <si>
    <t>brutto</t>
  </si>
  <si>
    <t>podatek</t>
  </si>
  <si>
    <t>dochód</t>
  </si>
  <si>
    <t>limit</t>
  </si>
  <si>
    <t>Podatek dochodowy</t>
  </si>
  <si>
    <t>Samochód elektryczny</t>
  </si>
  <si>
    <t>Okres do porównania</t>
  </si>
  <si>
    <t>Wkład własny</t>
  </si>
  <si>
    <t>Samochód</t>
  </si>
  <si>
    <t xml:space="preserve">Warunki </t>
  </si>
  <si>
    <t>Kredyt</t>
  </si>
  <si>
    <t>Oprocentowanie</t>
  </si>
  <si>
    <t>Prowizja banku</t>
  </si>
  <si>
    <t>Leasing</t>
  </si>
  <si>
    <t>Wykup</t>
  </si>
  <si>
    <t>netto</t>
  </si>
  <si>
    <t>VAT</t>
  </si>
  <si>
    <t>Zakup za gotówke</t>
  </si>
  <si>
    <t>kwota</t>
  </si>
  <si>
    <t>Kredyt samochodowy</t>
  </si>
  <si>
    <t>Leasing operacyjny</t>
  </si>
  <si>
    <t>2 lata</t>
  </si>
  <si>
    <t>3 lata</t>
  </si>
  <si>
    <t>4 lata</t>
  </si>
  <si>
    <t>5 lat</t>
  </si>
  <si>
    <t>6 lat</t>
  </si>
  <si>
    <t>7 lat</t>
  </si>
  <si>
    <t>8 lat</t>
  </si>
  <si>
    <t>Ilość rat</t>
  </si>
  <si>
    <t>ilość rat kredytu</t>
  </si>
  <si>
    <t>wpłata</t>
  </si>
  <si>
    <t>rata leasingu</t>
  </si>
  <si>
    <t>rata kredytu</t>
  </si>
  <si>
    <t>prowizja</t>
  </si>
  <si>
    <t>Kredyt z umowy leasingu</t>
  </si>
  <si>
    <t>oprocentowanie leasingu</t>
  </si>
  <si>
    <t>oprocentowanie</t>
  </si>
  <si>
    <t>Wartość samochodu</t>
  </si>
  <si>
    <t>Brutto</t>
  </si>
  <si>
    <t>Netto</t>
  </si>
  <si>
    <t>wpisz</t>
  </si>
  <si>
    <t>wybierz</t>
  </si>
  <si>
    <t>wsk. Wykup</t>
  </si>
  <si>
    <t>wskaźnik cena</t>
  </si>
  <si>
    <t>razem</t>
  </si>
  <si>
    <t>1 x</t>
  </si>
  <si>
    <t>Wyniki porównania</t>
  </si>
  <si>
    <t>Wydatek początkowy</t>
  </si>
  <si>
    <t>Razem</t>
  </si>
  <si>
    <t>Kwota miesięcznie</t>
  </si>
  <si>
    <t>Odliczenie VAT</t>
  </si>
  <si>
    <t>wydatek efektywny</t>
  </si>
  <si>
    <t>teoretyczna wartość samochodu</t>
  </si>
  <si>
    <t xml:space="preserve">Efektywny wydatek </t>
  </si>
  <si>
    <t>Wydatki brutto</t>
  </si>
  <si>
    <t>służbowy</t>
  </si>
  <si>
    <t>Tak</t>
  </si>
  <si>
    <t>Nie</t>
  </si>
  <si>
    <t>Sprzedaż samochodu</t>
  </si>
  <si>
    <t>koszty sprzedaży</t>
  </si>
  <si>
    <t>koszt finansowy uytkowania</t>
  </si>
  <si>
    <t>PIT</t>
  </si>
  <si>
    <t>CIT</t>
  </si>
  <si>
    <t>Dochód</t>
  </si>
  <si>
    <t>Koszty finansowe użytkowania</t>
  </si>
  <si>
    <t>Efektywny przychód</t>
  </si>
  <si>
    <t>Użytek tylko firmowy</t>
  </si>
  <si>
    <t>limit kosztów</t>
  </si>
  <si>
    <t>Wskaźnik limitu</t>
  </si>
  <si>
    <t>Koszty uzyskania przychodu netto</t>
  </si>
  <si>
    <t>https://leasingexpert.pl</t>
  </si>
  <si>
    <t>biuro@leasingexpert.pl</t>
  </si>
  <si>
    <t>Obliczenia zamieszczone w arkuszu zostały wykonane na podstawie dostępnych informacji i mogą zawierać błędy. Nie ponosimy odpowiedzialności za decyzję podjęte na ich podstawie. Będziemy wdzięczni za uwagi.</t>
  </si>
  <si>
    <t>FINANSOWANIE SAMOCHODU OSOBOWEGO - PORÓWNANIE</t>
  </si>
  <si>
    <t>Wyliczenia uwzględniają zmiany w przepisach podatkowych jakie weszły w życie od 01.01.2019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</si>
</sst>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.000%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u/>
      <sz val="14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23">
    <xf numFmtId="0" fontId="0" fillId="0" borderId="0" xfId="0"/>
    <xf numFmtId="9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4" fontId="0" fillId="0" borderId="0" xfId="1" applyFont="1"/>
    <xf numFmtId="44" fontId="0" fillId="0" borderId="0" xfId="0" applyNumberFormat="1"/>
    <xf numFmtId="9" fontId="0" fillId="0" borderId="0" xfId="2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9" fontId="0" fillId="0" borderId="0" xfId="0" applyNumberFormat="1" applyBorder="1"/>
    <xf numFmtId="0" fontId="0" fillId="0" borderId="6" xfId="0" applyBorder="1"/>
    <xf numFmtId="0" fontId="0" fillId="0" borderId="7" xfId="0" applyBorder="1"/>
    <xf numFmtId="9" fontId="0" fillId="0" borderId="7" xfId="0" applyNumberFormat="1" applyBorder="1"/>
    <xf numFmtId="0" fontId="0" fillId="0" borderId="8" xfId="0" applyBorder="1"/>
    <xf numFmtId="9" fontId="0" fillId="0" borderId="0" xfId="0" applyNumberFormat="1" applyAlignment="1">
      <alignment horizontal="right"/>
    </xf>
    <xf numFmtId="164" fontId="0" fillId="0" borderId="0" xfId="2" applyNumberFormat="1" applyFont="1"/>
    <xf numFmtId="0" fontId="0" fillId="0" borderId="0" xfId="0" applyAlignment="1"/>
    <xf numFmtId="0" fontId="2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3" fillId="0" borderId="9" xfId="0" applyFont="1" applyBorder="1" applyAlignment="1" applyProtection="1">
      <alignment horizontal="right"/>
      <protection locked="0"/>
    </xf>
    <xf numFmtId="9" fontId="3" fillId="0" borderId="9" xfId="2" applyFont="1" applyBorder="1" applyProtection="1">
      <protection locked="0"/>
    </xf>
    <xf numFmtId="0" fontId="3" fillId="0" borderId="0" xfId="0" applyFont="1" applyProtection="1">
      <protection locked="0"/>
    </xf>
    <xf numFmtId="9" fontId="3" fillId="0" borderId="9" xfId="2" applyFont="1" applyBorder="1" applyProtection="1"/>
    <xf numFmtId="0" fontId="3" fillId="0" borderId="9" xfId="0" applyFont="1" applyBorder="1" applyAlignment="1" applyProtection="1">
      <alignment horizontal="right"/>
    </xf>
    <xf numFmtId="0" fontId="3" fillId="0" borderId="0" xfId="0" applyFont="1" applyBorder="1" applyProtection="1"/>
    <xf numFmtId="0" fontId="3" fillId="0" borderId="14" xfId="0" applyFont="1" applyBorder="1" applyProtection="1"/>
    <xf numFmtId="0" fontId="2" fillId="0" borderId="0" xfId="0" applyFont="1" applyBorder="1" applyProtection="1"/>
    <xf numFmtId="0" fontId="2" fillId="2" borderId="9" xfId="0" applyFont="1" applyFill="1" applyBorder="1" applyProtection="1"/>
    <xf numFmtId="0" fontId="3" fillId="0" borderId="0" xfId="0" applyFont="1" applyBorder="1" applyAlignment="1" applyProtection="1">
      <alignment horizontal="right"/>
    </xf>
    <xf numFmtId="0" fontId="3" fillId="5" borderId="21" xfId="0" applyFont="1" applyFill="1" applyBorder="1" applyProtection="1"/>
    <xf numFmtId="0" fontId="3" fillId="0" borderId="13" xfId="0" applyFont="1" applyBorder="1" applyProtection="1"/>
    <xf numFmtId="0" fontId="4" fillId="0" borderId="13" xfId="0" applyFont="1" applyBorder="1" applyProtection="1"/>
    <xf numFmtId="0" fontId="3" fillId="5" borderId="13" xfId="0" applyFont="1" applyFill="1" applyBorder="1" applyProtection="1"/>
    <xf numFmtId="0" fontId="3" fillId="0" borderId="0" xfId="0" applyFont="1" applyBorder="1" applyAlignment="1" applyProtection="1">
      <alignment horizontal="center"/>
    </xf>
    <xf numFmtId="0" fontId="3" fillId="3" borderId="9" xfId="0" applyFont="1" applyFill="1" applyBorder="1" applyProtection="1"/>
    <xf numFmtId="44" fontId="3" fillId="0" borderId="0" xfId="1" applyFont="1" applyBorder="1" applyProtection="1"/>
    <xf numFmtId="44" fontId="3" fillId="0" borderId="0" xfId="0" applyNumberFormat="1" applyFont="1" applyBorder="1" applyProtection="1"/>
    <xf numFmtId="0" fontId="3" fillId="4" borderId="9" xfId="0" applyFont="1" applyFill="1" applyBorder="1" applyAlignment="1" applyProtection="1">
      <alignment horizontal="left"/>
    </xf>
    <xf numFmtId="0" fontId="3" fillId="4" borderId="9" xfId="0" applyFont="1" applyFill="1" applyBorder="1" applyProtection="1"/>
    <xf numFmtId="0" fontId="3" fillId="0" borderId="7" xfId="0" applyFont="1" applyBorder="1" applyProtection="1"/>
    <xf numFmtId="0" fontId="3" fillId="0" borderId="16" xfId="0" applyFont="1" applyBorder="1" applyProtection="1"/>
    <xf numFmtId="0" fontId="3" fillId="0" borderId="2" xfId="0" applyFont="1" applyBorder="1" applyProtection="1"/>
    <xf numFmtId="0" fontId="3" fillId="0" borderId="15" xfId="0" applyFont="1" applyBorder="1" applyProtection="1"/>
    <xf numFmtId="0" fontId="3" fillId="0" borderId="2" xfId="0" applyFont="1" applyBorder="1" applyAlignment="1" applyProtection="1">
      <alignment horizontal="right"/>
    </xf>
    <xf numFmtId="0" fontId="3" fillId="0" borderId="7" xfId="0" applyFont="1" applyBorder="1" applyAlignment="1" applyProtection="1">
      <alignment horizontal="right"/>
    </xf>
    <xf numFmtId="0" fontId="3" fillId="3" borderId="27" xfId="0" applyFont="1" applyFill="1" applyBorder="1" applyProtection="1"/>
    <xf numFmtId="0" fontId="3" fillId="0" borderId="23" xfId="0" applyFont="1" applyBorder="1" applyAlignment="1" applyProtection="1">
      <alignment horizontal="right"/>
    </xf>
    <xf numFmtId="0" fontId="3" fillId="0" borderId="23" xfId="0" applyFont="1" applyBorder="1" applyProtection="1"/>
    <xf numFmtId="0" fontId="3" fillId="0" borderId="24" xfId="0" applyFont="1" applyBorder="1" applyProtection="1"/>
    <xf numFmtId="0" fontId="4" fillId="5" borderId="20" xfId="0" applyFont="1" applyFill="1" applyBorder="1" applyProtection="1"/>
    <xf numFmtId="0" fontId="4" fillId="5" borderId="13" xfId="0" applyFont="1" applyFill="1" applyBorder="1" applyProtection="1"/>
    <xf numFmtId="0" fontId="4" fillId="5" borderId="21" xfId="0" applyFont="1" applyFill="1" applyBorder="1" applyProtection="1"/>
    <xf numFmtId="0" fontId="4" fillId="5" borderId="22" xfId="0" applyFont="1" applyFill="1" applyBorder="1" applyProtection="1"/>
    <xf numFmtId="0" fontId="2" fillId="2" borderId="27" xfId="0" applyFont="1" applyFill="1" applyBorder="1" applyProtection="1"/>
    <xf numFmtId="0" fontId="3" fillId="0" borderId="0" xfId="0" applyFont="1" applyProtection="1"/>
    <xf numFmtId="0" fontId="2" fillId="0" borderId="0" xfId="0" applyFont="1" applyProtection="1"/>
    <xf numFmtId="0" fontId="2" fillId="0" borderId="4" xfId="0" applyFont="1" applyBorder="1" applyProtection="1"/>
    <xf numFmtId="44" fontId="3" fillId="0" borderId="9" xfId="0" applyNumberFormat="1" applyFont="1" applyBorder="1" applyProtection="1"/>
    <xf numFmtId="44" fontId="3" fillId="0" borderId="28" xfId="0" applyNumberFormat="1" applyFont="1" applyBorder="1" applyProtection="1"/>
    <xf numFmtId="0" fontId="3" fillId="2" borderId="9" xfId="0" applyFont="1" applyFill="1" applyBorder="1" applyProtection="1"/>
    <xf numFmtId="0" fontId="3" fillId="0" borderId="9" xfId="0" applyFont="1" applyBorder="1" applyProtection="1"/>
    <xf numFmtId="44" fontId="4" fillId="0" borderId="9" xfId="0" applyNumberFormat="1" applyFont="1" applyBorder="1" applyProtection="1"/>
    <xf numFmtId="0" fontId="3" fillId="0" borderId="28" xfId="0" applyFont="1" applyBorder="1" applyProtection="1"/>
    <xf numFmtId="0" fontId="2" fillId="0" borderId="1" xfId="0" applyFont="1" applyBorder="1" applyProtection="1"/>
    <xf numFmtId="0" fontId="3" fillId="0" borderId="9" xfId="0" applyFont="1" applyBorder="1" applyAlignment="1" applyProtection="1">
      <alignment horizontal="center"/>
    </xf>
    <xf numFmtId="0" fontId="3" fillId="0" borderId="28" xfId="0" applyFont="1" applyBorder="1" applyAlignment="1" applyProtection="1">
      <alignment horizontal="center"/>
    </xf>
    <xf numFmtId="0" fontId="2" fillId="2" borderId="26" xfId="0" applyFont="1" applyFill="1" applyBorder="1" applyProtection="1"/>
    <xf numFmtId="0" fontId="3" fillId="0" borderId="26" xfId="0" applyFont="1" applyBorder="1" applyProtection="1"/>
    <xf numFmtId="44" fontId="3" fillId="0" borderId="26" xfId="0" applyNumberFormat="1" applyFont="1" applyBorder="1" applyProtection="1"/>
    <xf numFmtId="0" fontId="2" fillId="2" borderId="9" xfId="0" applyFont="1" applyFill="1" applyBorder="1" applyAlignment="1" applyProtection="1">
      <alignment wrapText="1"/>
    </xf>
    <xf numFmtId="44" fontId="3" fillId="0" borderId="9" xfId="1" applyFont="1" applyBorder="1" applyProtection="1"/>
    <xf numFmtId="44" fontId="3" fillId="0" borderId="28" xfId="1" applyFont="1" applyBorder="1" applyProtection="1"/>
    <xf numFmtId="0" fontId="2" fillId="2" borderId="4" xfId="0" applyFont="1" applyFill="1" applyBorder="1" applyProtection="1"/>
    <xf numFmtId="0" fontId="3" fillId="0" borderId="4" xfId="0" applyFont="1" applyBorder="1" applyProtection="1"/>
    <xf numFmtId="44" fontId="3" fillId="0" borderId="14" xfId="1" applyFont="1" applyBorder="1" applyProtection="1"/>
    <xf numFmtId="0" fontId="3" fillId="0" borderId="25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0" fontId="2" fillId="2" borderId="27" xfId="0" applyFont="1" applyFill="1" applyBorder="1" applyAlignment="1" applyProtection="1">
      <alignment wrapText="1"/>
    </xf>
    <xf numFmtId="0" fontId="3" fillId="0" borderId="27" xfId="0" applyFont="1" applyBorder="1" applyProtection="1"/>
    <xf numFmtId="44" fontId="4" fillId="0" borderId="27" xfId="0" applyNumberFormat="1" applyFont="1" applyBorder="1" applyProtection="1"/>
    <xf numFmtId="44" fontId="4" fillId="0" borderId="9" xfId="1" applyFont="1" applyBorder="1" applyProtection="1">
      <protection locked="0"/>
    </xf>
    <xf numFmtId="9" fontId="3" fillId="0" borderId="9" xfId="2" applyFont="1" applyBorder="1" applyAlignment="1" applyProtection="1">
      <alignment horizontal="right"/>
      <protection locked="0"/>
    </xf>
    <xf numFmtId="9" fontId="3" fillId="0" borderId="27" xfId="2" applyFont="1" applyBorder="1" applyProtection="1">
      <protection locked="0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center" vertical="center" wrapText="1"/>
    </xf>
    <xf numFmtId="44" fontId="4" fillId="0" borderId="9" xfId="1" applyFont="1" applyBorder="1" applyProtection="1"/>
    <xf numFmtId="0" fontId="4" fillId="5" borderId="34" xfId="0" applyFont="1" applyFill="1" applyBorder="1" applyAlignment="1" applyProtection="1">
      <alignment horizontal="center" vertical="center" textRotation="90"/>
    </xf>
    <xf numFmtId="0" fontId="4" fillId="5" borderId="30" xfId="0" applyFont="1" applyFill="1" applyBorder="1" applyAlignment="1" applyProtection="1">
      <alignment horizontal="center" vertical="center" textRotation="90"/>
    </xf>
    <xf numFmtId="0" fontId="4" fillId="5" borderId="35" xfId="0" applyFont="1" applyFill="1" applyBorder="1" applyAlignment="1" applyProtection="1">
      <alignment horizontal="center" vertical="center" textRotation="90"/>
    </xf>
    <xf numFmtId="0" fontId="3" fillId="6" borderId="21" xfId="0" applyFont="1" applyFill="1" applyBorder="1" applyAlignment="1" applyProtection="1">
      <alignment horizontal="center"/>
    </xf>
    <xf numFmtId="0" fontId="3" fillId="6" borderId="7" xfId="0" applyFont="1" applyFill="1" applyBorder="1" applyAlignment="1" applyProtection="1">
      <alignment horizontal="center"/>
    </xf>
    <xf numFmtId="0" fontId="3" fillId="6" borderId="16" xfId="0" applyFont="1" applyFill="1" applyBorder="1" applyAlignment="1" applyProtection="1">
      <alignment horizontal="center"/>
    </xf>
    <xf numFmtId="0" fontId="4" fillId="5" borderId="36" xfId="0" applyFont="1" applyFill="1" applyBorder="1" applyAlignment="1" applyProtection="1">
      <alignment horizontal="center" vertical="center" textRotation="90"/>
    </xf>
    <xf numFmtId="0" fontId="4" fillId="5" borderId="37" xfId="0" applyFont="1" applyFill="1" applyBorder="1" applyAlignment="1" applyProtection="1">
      <alignment horizontal="center"/>
    </xf>
    <xf numFmtId="0" fontId="4" fillId="5" borderId="38" xfId="0" applyFont="1" applyFill="1" applyBorder="1" applyAlignment="1" applyProtection="1">
      <alignment horizontal="center"/>
    </xf>
    <xf numFmtId="0" fontId="4" fillId="5" borderId="39" xfId="0" applyFont="1" applyFill="1" applyBorder="1" applyAlignment="1" applyProtection="1">
      <alignment horizontal="center"/>
    </xf>
    <xf numFmtId="0" fontId="4" fillId="5" borderId="10" xfId="0" applyFont="1" applyFill="1" applyBorder="1" applyAlignment="1" applyProtection="1">
      <alignment horizontal="center"/>
    </xf>
    <xf numFmtId="0" fontId="4" fillId="5" borderId="11" xfId="0" applyFont="1" applyFill="1" applyBorder="1" applyAlignment="1" applyProtection="1">
      <alignment horizontal="center"/>
    </xf>
    <xf numFmtId="0" fontId="4" fillId="5" borderId="12" xfId="0" applyFont="1" applyFill="1" applyBorder="1" applyAlignment="1" applyProtection="1">
      <alignment horizontal="center"/>
    </xf>
    <xf numFmtId="0" fontId="11" fillId="5" borderId="21" xfId="0" applyFont="1" applyFill="1" applyBorder="1" applyAlignment="1" applyProtection="1">
      <alignment horizontal="center"/>
    </xf>
    <xf numFmtId="0" fontId="11" fillId="5" borderId="7" xfId="0" applyFont="1" applyFill="1" applyBorder="1" applyAlignment="1" applyProtection="1">
      <alignment horizontal="center"/>
    </xf>
    <xf numFmtId="0" fontId="11" fillId="5" borderId="16" xfId="0" applyFont="1" applyFill="1" applyBorder="1" applyAlignment="1" applyProtection="1">
      <alignment horizontal="center"/>
    </xf>
    <xf numFmtId="0" fontId="10" fillId="0" borderId="1" xfId="0" applyFont="1" applyBorder="1" applyAlignment="1" applyProtection="1">
      <alignment horizontal="left" wrapText="1"/>
    </xf>
    <xf numFmtId="0" fontId="10" fillId="0" borderId="2" xfId="0" applyFont="1" applyBorder="1" applyAlignment="1" applyProtection="1">
      <alignment horizontal="left" wrapText="1"/>
    </xf>
    <xf numFmtId="0" fontId="10" fillId="0" borderId="15" xfId="0" applyFont="1" applyBorder="1" applyAlignment="1" applyProtection="1">
      <alignment horizontal="left" wrapText="1"/>
    </xf>
    <xf numFmtId="0" fontId="10" fillId="0" borderId="17" xfId="0" applyFont="1" applyBorder="1" applyAlignment="1" applyProtection="1">
      <alignment horizontal="left" wrapText="1"/>
    </xf>
    <xf numFmtId="0" fontId="10" fillId="0" borderId="18" xfId="0" applyFont="1" applyBorder="1" applyAlignment="1" applyProtection="1">
      <alignment horizontal="left" wrapText="1"/>
    </xf>
    <xf numFmtId="0" fontId="10" fillId="0" borderId="19" xfId="0" applyFont="1" applyBorder="1" applyAlignment="1" applyProtection="1">
      <alignment horizontal="left" wrapText="1"/>
    </xf>
    <xf numFmtId="0" fontId="8" fillId="0" borderId="1" xfId="3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</cellXfs>
  <cellStyles count="4">
    <cellStyle name="Hiperłącze" xfId="3" builtinId="8"/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leasingexpert.p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533401</xdr:colOff>
      <xdr:row>8</xdr:row>
      <xdr:rowOff>66676</xdr:rowOff>
    </xdr:from>
    <xdr:to>
      <xdr:col>6</xdr:col>
      <xdr:colOff>209550</xdr:colOff>
      <xdr:row>10</xdr:row>
      <xdr:rowOff>120549</xdr:rowOff>
    </xdr:to>
    <xdr:pic>
      <xdr:nvPicPr>
        <xdr:cNvPr id="3" name="Obraz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645E1D-1D5C-4601-B6A0-348F4768E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7164" y="1400176"/>
          <a:ext cx="1466849" cy="387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iuro@leasingexpert.pl" TargetMode="External"/><Relationship Id="rId1" Type="http://schemas.openxmlformats.org/officeDocument/2006/relationships/hyperlink" Target="https://leasingexpert.pl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28D50-CEDA-4C86-A45E-38672C359285}">
  <sheetPr codeName="Arkusz1"/>
  <dimension ref="A1:G51"/>
  <sheetViews>
    <sheetView showGridLines="0" tabSelected="1" workbookViewId="0">
      <selection activeCell="H13" sqref="H13"/>
    </sheetView>
  </sheetViews>
  <sheetFormatPr defaultRowHeight="13.15" x14ac:dyDescent="0.4"/>
  <cols>
    <col min="1" max="1" width="8.33203125" style="25" bestFit="1" customWidth="1"/>
    <col min="2" max="2" width="15.33203125" style="21" bestFit="1" customWidth="1"/>
    <col min="3" max="3" width="12.6640625" style="25" customWidth="1"/>
    <col min="4" max="4" width="11.73046875" style="25" bestFit="1" customWidth="1"/>
    <col min="5" max="5" width="13.265625" style="25" customWidth="1"/>
    <col min="6" max="6" width="11.796875" style="25" customWidth="1"/>
    <col min="7" max="7" width="10.796875" style="25" bestFit="1" customWidth="1"/>
    <col min="8" max="8" width="10" style="21" customWidth="1"/>
    <col min="9" max="16384" width="9.06640625" style="21"/>
  </cols>
  <sheetData>
    <row r="1" spans="1:7" ht="14.25" customHeight="1" x14ac:dyDescent="0.4">
      <c r="A1" s="99" t="s">
        <v>93</v>
      </c>
      <c r="B1" s="100"/>
      <c r="C1" s="100"/>
      <c r="D1" s="100"/>
      <c r="E1" s="100"/>
      <c r="F1" s="100"/>
      <c r="G1" s="101"/>
    </row>
    <row r="2" spans="1:7" x14ac:dyDescent="0.4">
      <c r="A2" s="54" t="s">
        <v>28</v>
      </c>
      <c r="B2" s="30"/>
      <c r="C2" s="37" t="s">
        <v>58</v>
      </c>
      <c r="D2" s="28"/>
      <c r="E2" s="37" t="s">
        <v>59</v>
      </c>
      <c r="F2" s="37" t="s">
        <v>36</v>
      </c>
      <c r="G2" s="29"/>
    </row>
    <row r="3" spans="1:7" x14ac:dyDescent="0.4">
      <c r="A3" s="36"/>
      <c r="B3" s="31" t="s">
        <v>57</v>
      </c>
      <c r="C3" s="84">
        <v>250000</v>
      </c>
      <c r="D3" s="38" t="s">
        <v>60</v>
      </c>
      <c r="E3" s="39">
        <f>obliczenia!D9</f>
        <v>203252.03252032521</v>
      </c>
      <c r="F3" s="40">
        <f>obliczenia!D10</f>
        <v>46747.967479674786</v>
      </c>
      <c r="G3" s="29"/>
    </row>
    <row r="4" spans="1:7" x14ac:dyDescent="0.4">
      <c r="A4" s="36"/>
      <c r="B4" s="31" t="s">
        <v>86</v>
      </c>
      <c r="C4" s="23" t="s">
        <v>77</v>
      </c>
      <c r="D4" s="41" t="s">
        <v>61</v>
      </c>
      <c r="E4" s="28"/>
      <c r="F4" s="28"/>
      <c r="G4" s="29"/>
    </row>
    <row r="5" spans="1:7" x14ac:dyDescent="0.4">
      <c r="A5" s="36"/>
      <c r="B5" s="31" t="s">
        <v>25</v>
      </c>
      <c r="C5" s="23" t="s">
        <v>77</v>
      </c>
      <c r="D5" s="42" t="s">
        <v>61</v>
      </c>
      <c r="E5" s="32" t="s">
        <v>87</v>
      </c>
      <c r="F5" s="39">
        <f>IF(C5="nie",obliczenia!D3,obliczenia!D4)</f>
        <v>150000</v>
      </c>
      <c r="G5" s="29"/>
    </row>
    <row r="6" spans="1:7" x14ac:dyDescent="0.4">
      <c r="A6" s="36"/>
      <c r="B6" s="30"/>
      <c r="C6" s="28"/>
      <c r="D6" s="28"/>
      <c r="E6" s="28"/>
      <c r="F6" s="28"/>
      <c r="G6" s="29"/>
    </row>
    <row r="7" spans="1:7" x14ac:dyDescent="0.4">
      <c r="A7" s="33"/>
      <c r="B7" s="31" t="s">
        <v>88</v>
      </c>
      <c r="C7" s="26">
        <f>obliczenia!D12</f>
        <v>0.66188340807174884</v>
      </c>
      <c r="D7" s="43"/>
      <c r="E7" s="43"/>
      <c r="F7" s="43"/>
      <c r="G7" s="44"/>
    </row>
    <row r="8" spans="1:7" x14ac:dyDescent="0.4">
      <c r="A8" s="34"/>
      <c r="B8" s="30"/>
      <c r="C8" s="28"/>
      <c r="D8" s="28"/>
      <c r="E8" s="28"/>
      <c r="F8" s="28"/>
      <c r="G8" s="29"/>
    </row>
    <row r="9" spans="1:7" x14ac:dyDescent="0.4">
      <c r="A9" s="53" t="s">
        <v>29</v>
      </c>
      <c r="B9" s="31" t="s">
        <v>24</v>
      </c>
      <c r="C9" s="24">
        <v>0.19</v>
      </c>
      <c r="D9" s="42" t="s">
        <v>61</v>
      </c>
      <c r="E9" s="45"/>
      <c r="F9" s="45"/>
      <c r="G9" s="46"/>
    </row>
    <row r="10" spans="1:7" x14ac:dyDescent="0.4">
      <c r="A10" s="54"/>
      <c r="B10" s="31" t="s">
        <v>26</v>
      </c>
      <c r="C10" s="23" t="s">
        <v>42</v>
      </c>
      <c r="D10" s="42" t="s">
        <v>61</v>
      </c>
      <c r="E10" s="28"/>
      <c r="F10" s="28"/>
      <c r="G10" s="29"/>
    </row>
    <row r="11" spans="1:7" x14ac:dyDescent="0.4">
      <c r="A11" s="55"/>
      <c r="B11" s="31" t="s">
        <v>27</v>
      </c>
      <c r="C11" s="85">
        <v>0.2</v>
      </c>
      <c r="D11" s="42" t="s">
        <v>61</v>
      </c>
      <c r="E11" s="43"/>
      <c r="F11" s="43"/>
      <c r="G11" s="44"/>
    </row>
    <row r="12" spans="1:7" x14ac:dyDescent="0.4">
      <c r="A12" s="35"/>
      <c r="B12" s="30"/>
      <c r="C12" s="22"/>
      <c r="D12" s="28"/>
      <c r="E12" s="28"/>
      <c r="F12" s="28"/>
      <c r="G12" s="29"/>
    </row>
    <row r="13" spans="1:7" x14ac:dyDescent="0.4">
      <c r="A13" s="53" t="s">
        <v>30</v>
      </c>
      <c r="B13" s="31" t="s">
        <v>31</v>
      </c>
      <c r="C13" s="24">
        <v>0.08</v>
      </c>
      <c r="D13" s="38" t="s">
        <v>60</v>
      </c>
      <c r="E13" s="47" t="s">
        <v>48</v>
      </c>
      <c r="F13" s="45">
        <f>obliczenia!D27</f>
        <v>36</v>
      </c>
      <c r="G13" s="46"/>
    </row>
    <row r="14" spans="1:7" x14ac:dyDescent="0.4">
      <c r="A14" s="55"/>
      <c r="B14" s="31" t="s">
        <v>32</v>
      </c>
      <c r="C14" s="24">
        <v>0.04</v>
      </c>
      <c r="D14" s="38" t="s">
        <v>60</v>
      </c>
      <c r="E14" s="48"/>
      <c r="F14" s="43"/>
      <c r="G14" s="44"/>
    </row>
    <row r="15" spans="1:7" x14ac:dyDescent="0.4">
      <c r="A15" s="35"/>
      <c r="B15" s="30"/>
      <c r="C15" s="22"/>
      <c r="D15" s="28"/>
      <c r="E15" s="32"/>
      <c r="F15" s="28"/>
      <c r="G15" s="29"/>
    </row>
    <row r="16" spans="1:7" ht="13.5" thickBot="1" x14ac:dyDescent="0.45">
      <c r="A16" s="56" t="s">
        <v>33</v>
      </c>
      <c r="B16" s="57" t="s">
        <v>34</v>
      </c>
      <c r="C16" s="86">
        <v>0.01</v>
      </c>
      <c r="D16" s="49" t="s">
        <v>60</v>
      </c>
      <c r="E16" s="50" t="s">
        <v>48</v>
      </c>
      <c r="F16" s="51">
        <f>obliczenia!D20</f>
        <v>35</v>
      </c>
      <c r="G16" s="52"/>
    </row>
    <row r="17" spans="1:7" ht="13.5" thickBot="1" x14ac:dyDescent="0.45">
      <c r="A17" s="58"/>
      <c r="B17" s="59"/>
      <c r="C17" s="58"/>
      <c r="D17" s="58"/>
      <c r="E17" s="58"/>
      <c r="F17" s="58"/>
      <c r="G17" s="58"/>
    </row>
    <row r="18" spans="1:7" ht="14.25" customHeight="1" x14ac:dyDescent="0.4">
      <c r="A18" s="102" t="s">
        <v>66</v>
      </c>
      <c r="B18" s="103"/>
      <c r="C18" s="103"/>
      <c r="D18" s="103"/>
      <c r="E18" s="103"/>
      <c r="F18" s="103"/>
      <c r="G18" s="104"/>
    </row>
    <row r="19" spans="1:7" ht="13.15" customHeight="1" x14ac:dyDescent="0.35">
      <c r="A19" s="105" t="s">
        <v>94</v>
      </c>
      <c r="B19" s="106"/>
      <c r="C19" s="106"/>
      <c r="D19" s="106"/>
      <c r="E19" s="106"/>
      <c r="F19" s="106"/>
      <c r="G19" s="107"/>
    </row>
    <row r="20" spans="1:7" x14ac:dyDescent="0.4">
      <c r="A20" s="95"/>
      <c r="B20" s="96"/>
      <c r="C20" s="96"/>
      <c r="D20" s="96"/>
      <c r="E20" s="96"/>
      <c r="F20" s="96"/>
      <c r="G20" s="97"/>
    </row>
    <row r="21" spans="1:7" ht="26.65" customHeight="1" x14ac:dyDescent="0.35">
      <c r="A21" s="92" t="s">
        <v>37</v>
      </c>
      <c r="B21" s="60"/>
      <c r="C21" s="121" t="s">
        <v>74</v>
      </c>
      <c r="D21" s="122"/>
      <c r="E21" s="87" t="s">
        <v>89</v>
      </c>
      <c r="F21" s="87" t="s">
        <v>70</v>
      </c>
      <c r="G21" s="88" t="s">
        <v>13</v>
      </c>
    </row>
    <row r="22" spans="1:7" x14ac:dyDescent="0.4">
      <c r="A22" s="93"/>
      <c r="B22" s="31" t="s">
        <v>67</v>
      </c>
      <c r="C22" s="27" t="str">
        <f>obliczenia!C39</f>
        <v>1 x</v>
      </c>
      <c r="D22" s="61">
        <f>obliczenia!D39</f>
        <v>250000</v>
      </c>
      <c r="E22" s="61">
        <f>obliczenia!E39</f>
        <v>0</v>
      </c>
      <c r="F22" s="61">
        <f>obliczenia!F39</f>
        <v>23373.983739837393</v>
      </c>
      <c r="G22" s="62">
        <f>obliczenia!G39</f>
        <v>0</v>
      </c>
    </row>
    <row r="23" spans="1:7" x14ac:dyDescent="0.4">
      <c r="A23" s="93"/>
      <c r="B23" s="31" t="s">
        <v>69</v>
      </c>
      <c r="C23" s="27"/>
      <c r="D23" s="61">
        <f>obliczenia!D40</f>
        <v>0</v>
      </c>
      <c r="E23" s="61">
        <f>obliczenia!E40</f>
        <v>104091.47252907506</v>
      </c>
      <c r="F23" s="61">
        <f>obliczenia!F40</f>
        <v>0</v>
      </c>
      <c r="G23" s="62">
        <f>obliczenia!G40</f>
        <v>19777.379780524261</v>
      </c>
    </row>
    <row r="24" spans="1:7" x14ac:dyDescent="0.4">
      <c r="A24" s="93"/>
      <c r="B24" s="63" t="s">
        <v>68</v>
      </c>
      <c r="C24" s="64"/>
      <c r="D24" s="61">
        <f>obliczenia!D42</f>
        <v>250000</v>
      </c>
      <c r="E24" s="61">
        <f>obliczenia!E42</f>
        <v>104091.47252907506</v>
      </c>
      <c r="F24" s="61">
        <f>obliczenia!F42</f>
        <v>23373.983739837393</v>
      </c>
      <c r="G24" s="62">
        <f>obliczenia!G42</f>
        <v>19777.379780524261</v>
      </c>
    </row>
    <row r="25" spans="1:7" x14ac:dyDescent="0.4">
      <c r="A25" s="93"/>
      <c r="B25" s="31" t="s">
        <v>73</v>
      </c>
      <c r="C25" s="64"/>
      <c r="D25" s="65">
        <f>obliczenia!D43</f>
        <v>206848.63647963834</v>
      </c>
      <c r="E25" s="64"/>
      <c r="F25" s="64"/>
      <c r="G25" s="66"/>
    </row>
    <row r="26" spans="1:7" x14ac:dyDescent="0.4">
      <c r="A26" s="93"/>
      <c r="B26" s="67"/>
      <c r="C26" s="45"/>
      <c r="D26" s="45"/>
      <c r="E26" s="68" t="s">
        <v>83</v>
      </c>
      <c r="F26" s="68" t="str">
        <f>CONCATENATE("Podatek ",obliczenia!K6)</f>
        <v>Podatek PIT</v>
      </c>
      <c r="G26" s="69" t="s">
        <v>36</v>
      </c>
    </row>
    <row r="27" spans="1:7" x14ac:dyDescent="0.4">
      <c r="A27" s="93"/>
      <c r="B27" s="31" t="s">
        <v>78</v>
      </c>
      <c r="C27" s="64"/>
      <c r="D27" s="61">
        <f>obliczenia!D45</f>
        <v>137500</v>
      </c>
      <c r="E27" s="61">
        <f>obliczenia!E45</f>
        <v>42506.106675416537</v>
      </c>
      <c r="F27" s="61">
        <f>obliczenia!F45</f>
        <v>-8076.1602683291421</v>
      </c>
      <c r="G27" s="62">
        <f>obliczenia!G45</f>
        <v>-25711.382113821135</v>
      </c>
    </row>
    <row r="28" spans="1:7" x14ac:dyDescent="0.4">
      <c r="A28" s="93"/>
      <c r="B28" s="70" t="s">
        <v>85</v>
      </c>
      <c r="C28" s="71"/>
      <c r="D28" s="72">
        <f>obliczenia!D46</f>
        <v>103712.45761784972</v>
      </c>
      <c r="E28" s="114" t="s">
        <v>90</v>
      </c>
      <c r="F28" s="115"/>
      <c r="G28" s="116"/>
    </row>
    <row r="29" spans="1:7" ht="23.65" x14ac:dyDescent="0.4">
      <c r="A29" s="94"/>
      <c r="B29" s="73" t="s">
        <v>84</v>
      </c>
      <c r="C29" s="64"/>
      <c r="D29" s="65">
        <f>obliczenia!D48</f>
        <v>103136.17886178862</v>
      </c>
      <c r="E29" s="117"/>
      <c r="F29" s="118"/>
      <c r="G29" s="119"/>
    </row>
    <row r="30" spans="1:7" x14ac:dyDescent="0.4">
      <c r="A30" s="95"/>
      <c r="B30" s="96"/>
      <c r="C30" s="96"/>
      <c r="D30" s="96"/>
      <c r="E30" s="96"/>
      <c r="F30" s="96"/>
      <c r="G30" s="97"/>
    </row>
    <row r="31" spans="1:7" ht="26.25" x14ac:dyDescent="0.35">
      <c r="A31" s="92" t="s">
        <v>39</v>
      </c>
      <c r="B31" s="60"/>
      <c r="C31" s="120" t="s">
        <v>74</v>
      </c>
      <c r="D31" s="120"/>
      <c r="E31" s="89" t="s">
        <v>89</v>
      </c>
      <c r="F31" s="89" t="s">
        <v>70</v>
      </c>
      <c r="G31" s="90" t="s">
        <v>13</v>
      </c>
    </row>
    <row r="32" spans="1:7" ht="26.65" customHeight="1" x14ac:dyDescent="0.4">
      <c r="A32" s="93"/>
      <c r="B32" s="31" t="s">
        <v>67</v>
      </c>
      <c r="C32" s="27" t="str">
        <f>obliczenia!H39</f>
        <v>1 x</v>
      </c>
      <c r="D32" s="74">
        <f>obliczenia!I39</f>
        <v>50000</v>
      </c>
      <c r="E32" s="74">
        <f>obliczenia!J39</f>
        <v>10000</v>
      </c>
      <c r="F32" s="74">
        <f>obliczenia!K39</f>
        <v>23373.983739837393</v>
      </c>
      <c r="G32" s="75">
        <f>obliczenia!L39</f>
        <v>1900</v>
      </c>
    </row>
    <row r="33" spans="1:7" x14ac:dyDescent="0.4">
      <c r="A33" s="93"/>
      <c r="B33" s="31" t="s">
        <v>69</v>
      </c>
      <c r="C33" s="27" t="str">
        <f>obliczenia!H40</f>
        <v>36 x</v>
      </c>
      <c r="D33" s="74">
        <f>obliczenia!I40</f>
        <v>6580.636746900479</v>
      </c>
      <c r="E33" s="74">
        <f>obliczenia!J40</f>
        <v>130994.39541749231</v>
      </c>
      <c r="F33" s="74">
        <f>obliczenia!K40</f>
        <v>0</v>
      </c>
      <c r="G33" s="75">
        <f>obliczenia!L40</f>
        <v>24888.935129323541</v>
      </c>
    </row>
    <row r="34" spans="1:7" x14ac:dyDescent="0.4">
      <c r="A34" s="93"/>
      <c r="B34" s="63" t="s">
        <v>68</v>
      </c>
      <c r="C34" s="64"/>
      <c r="D34" s="74">
        <f>obliczenia!I42</f>
        <v>286902.92288841726</v>
      </c>
      <c r="E34" s="74">
        <f>obliczenia!J42</f>
        <v>140994.39541749231</v>
      </c>
      <c r="F34" s="74">
        <f>obliczenia!K42</f>
        <v>23373.983739837393</v>
      </c>
      <c r="G34" s="75">
        <f>obliczenia!L42</f>
        <v>26788.935129323541</v>
      </c>
    </row>
    <row r="35" spans="1:7" x14ac:dyDescent="0.4">
      <c r="A35" s="93"/>
      <c r="B35" s="76" t="s">
        <v>73</v>
      </c>
      <c r="C35" s="77"/>
      <c r="D35" s="91">
        <f>obliczenia!I43</f>
        <v>236740.0040192563</v>
      </c>
      <c r="E35" s="39"/>
      <c r="F35" s="39"/>
      <c r="G35" s="78"/>
    </row>
    <row r="36" spans="1:7" x14ac:dyDescent="0.4">
      <c r="A36" s="93"/>
      <c r="B36" s="67"/>
      <c r="C36" s="45"/>
      <c r="D36" s="45"/>
      <c r="E36" s="79" t="s">
        <v>83</v>
      </c>
      <c r="F36" s="79" t="str">
        <f>CONCATENATE("Podatek ",obliczenia!K6)</f>
        <v>Podatek PIT</v>
      </c>
      <c r="G36" s="80" t="s">
        <v>36</v>
      </c>
    </row>
    <row r="37" spans="1:7" x14ac:dyDescent="0.4">
      <c r="A37" s="93"/>
      <c r="B37" s="31" t="s">
        <v>78</v>
      </c>
      <c r="C37" s="64"/>
      <c r="D37" s="61">
        <f>obliczenia!I45</f>
        <v>137500</v>
      </c>
      <c r="E37" s="61">
        <f>obliczenia!J45</f>
        <v>42506.106675416537</v>
      </c>
      <c r="F37" s="61">
        <f>obliczenia!K45</f>
        <v>-8076.1602683291421</v>
      </c>
      <c r="G37" s="62">
        <f>obliczenia!L45</f>
        <v>-25711.382113821135</v>
      </c>
    </row>
    <row r="38" spans="1:7" x14ac:dyDescent="0.4">
      <c r="A38" s="93"/>
      <c r="B38" s="31" t="s">
        <v>85</v>
      </c>
      <c r="C38" s="64"/>
      <c r="D38" s="61">
        <f>obliczenia!I46</f>
        <v>103712.45761784972</v>
      </c>
      <c r="E38" s="114" t="s">
        <v>91</v>
      </c>
      <c r="F38" s="115"/>
      <c r="G38" s="116"/>
    </row>
    <row r="39" spans="1:7" ht="23.65" x14ac:dyDescent="0.4">
      <c r="A39" s="94"/>
      <c r="B39" s="73" t="s">
        <v>84</v>
      </c>
      <c r="C39" s="64"/>
      <c r="D39" s="65">
        <f>obliczenia!I48</f>
        <v>133027.54640140658</v>
      </c>
      <c r="E39" s="117"/>
      <c r="F39" s="118"/>
      <c r="G39" s="119"/>
    </row>
    <row r="40" spans="1:7" x14ac:dyDescent="0.4">
      <c r="A40" s="95"/>
      <c r="B40" s="96"/>
      <c r="C40" s="96"/>
      <c r="D40" s="96"/>
      <c r="E40" s="96"/>
      <c r="F40" s="96"/>
      <c r="G40" s="97"/>
    </row>
    <row r="41" spans="1:7" ht="26.25" x14ac:dyDescent="0.35">
      <c r="A41" s="93" t="s">
        <v>40</v>
      </c>
      <c r="B41" s="60"/>
      <c r="C41" s="121" t="s">
        <v>74</v>
      </c>
      <c r="D41" s="122"/>
      <c r="E41" s="87" t="s">
        <v>89</v>
      </c>
      <c r="F41" s="87" t="s">
        <v>70</v>
      </c>
      <c r="G41" s="88" t="s">
        <v>13</v>
      </c>
    </row>
    <row r="42" spans="1:7" ht="26.65" customHeight="1" x14ac:dyDescent="0.4">
      <c r="A42" s="93"/>
      <c r="B42" s="31" t="s">
        <v>67</v>
      </c>
      <c r="C42" s="27" t="str">
        <f>obliczenia!M39</f>
        <v>1 x</v>
      </c>
      <c r="D42" s="74">
        <f>obliczenia!N39</f>
        <v>50000</v>
      </c>
      <c r="E42" s="74">
        <f>obliczenia!O39</f>
        <v>31580.626344380034</v>
      </c>
      <c r="F42" s="74">
        <f>obliczenia!P39</f>
        <v>4674.7967479674808</v>
      </c>
      <c r="G42" s="75">
        <f>obliczenia!Q39</f>
        <v>6000.3190054322067</v>
      </c>
    </row>
    <row r="43" spans="1:7" ht="14.25" customHeight="1" x14ac:dyDescent="0.4">
      <c r="A43" s="93"/>
      <c r="B43" s="31" t="s">
        <v>69</v>
      </c>
      <c r="C43" s="27" t="str">
        <f>obliczenia!M40</f>
        <v>35 x</v>
      </c>
      <c r="D43" s="74">
        <f>obliczenia!N40</f>
        <v>6455.6112068334178</v>
      </c>
      <c r="E43" s="74">
        <f>obliczenia!O40</f>
        <v>142710.5717433189</v>
      </c>
      <c r="F43" s="74">
        <f>obliczenia!P40</f>
        <v>21125.069193093092</v>
      </c>
      <c r="G43" s="75">
        <f>obliczenia!Q40</f>
        <v>27115.00863123059</v>
      </c>
    </row>
    <row r="44" spans="1:7" ht="14.25" customHeight="1" x14ac:dyDescent="0.4">
      <c r="A44" s="93"/>
      <c r="B44" s="31" t="s">
        <v>34</v>
      </c>
      <c r="C44" s="27" t="str">
        <f>obliczenia!M41</f>
        <v>1 x</v>
      </c>
      <c r="D44" s="74">
        <f>obliczenia!N41</f>
        <v>2500</v>
      </c>
      <c r="E44" s="74">
        <f>obliczenia!O41</f>
        <v>2266.2601626016258</v>
      </c>
      <c r="F44" s="74">
        <f>obliczenia!P41</f>
        <v>233.73983739837399</v>
      </c>
      <c r="G44" s="75">
        <f>obliczenia!Q41</f>
        <v>430.58943089430892</v>
      </c>
    </row>
    <row r="45" spans="1:7" ht="14.25" customHeight="1" x14ac:dyDescent="0.4">
      <c r="A45" s="93"/>
      <c r="B45" s="63" t="s">
        <v>68</v>
      </c>
      <c r="C45" s="64"/>
      <c r="D45" s="74">
        <f>obliczenia!N42</f>
        <v>278446.39223916963</v>
      </c>
      <c r="E45" s="74">
        <f>obliczenia!O42</f>
        <v>176557.45825030055</v>
      </c>
      <c r="F45" s="74">
        <f>obliczenia!P42</f>
        <v>26033.605778458947</v>
      </c>
      <c r="G45" s="75">
        <f>obliczenia!Q42</f>
        <v>33545.917067557108</v>
      </c>
    </row>
    <row r="46" spans="1:7" ht="14.25" customHeight="1" x14ac:dyDescent="0.4">
      <c r="A46" s="93"/>
      <c r="B46" s="76" t="s">
        <v>73</v>
      </c>
      <c r="C46" s="77"/>
      <c r="D46" s="65">
        <f>obliczenia!N43</f>
        <v>218866.86939315358</v>
      </c>
      <c r="E46" s="28"/>
      <c r="F46" s="28"/>
      <c r="G46" s="29"/>
    </row>
    <row r="47" spans="1:7" ht="14.25" customHeight="1" x14ac:dyDescent="0.4">
      <c r="A47" s="93"/>
      <c r="B47" s="67"/>
      <c r="C47" s="45"/>
      <c r="D47" s="45"/>
      <c r="E47" s="68" t="s">
        <v>83</v>
      </c>
      <c r="F47" s="68" t="str">
        <f>CONCATENATE("Podatek ",obliczenia!K6)</f>
        <v>Podatek PIT</v>
      </c>
      <c r="G47" s="69" t="s">
        <v>36</v>
      </c>
    </row>
    <row r="48" spans="1:7" ht="14.25" customHeight="1" x14ac:dyDescent="0.4">
      <c r="A48" s="93"/>
      <c r="B48" s="31" t="s">
        <v>78</v>
      </c>
      <c r="C48" s="64"/>
      <c r="D48" s="61">
        <f>obliczenia!N45</f>
        <v>137500</v>
      </c>
      <c r="E48" s="61">
        <f>obliczenia!O45</f>
        <v>109756.09756097561</v>
      </c>
      <c r="F48" s="61">
        <f>obliczenia!P45</f>
        <v>-20853.658536585368</v>
      </c>
      <c r="G48" s="62">
        <f>obliczenia!Q45</f>
        <v>-25711.382113821135</v>
      </c>
    </row>
    <row r="49" spans="1:7" ht="14.25" customHeight="1" x14ac:dyDescent="0.4">
      <c r="A49" s="93"/>
      <c r="B49" s="31" t="s">
        <v>85</v>
      </c>
      <c r="C49" s="64"/>
      <c r="D49" s="61">
        <f>obliczenia!N46</f>
        <v>90934.959349593497</v>
      </c>
      <c r="E49" s="108" t="s">
        <v>92</v>
      </c>
      <c r="F49" s="109"/>
      <c r="G49" s="110"/>
    </row>
    <row r="50" spans="1:7" ht="29.65" customHeight="1" thickBot="1" x14ac:dyDescent="0.45">
      <c r="A50" s="98"/>
      <c r="B50" s="81" t="s">
        <v>84</v>
      </c>
      <c r="C50" s="82"/>
      <c r="D50" s="83">
        <f>obliczenia!N48</f>
        <v>127931.91004356008</v>
      </c>
      <c r="E50" s="111"/>
      <c r="F50" s="112"/>
      <c r="G50" s="113"/>
    </row>
    <row r="51" spans="1:7" ht="27.75" customHeight="1" x14ac:dyDescent="0.4"/>
  </sheetData>
  <sheetProtection algorithmName="SHA-512" hashValue="Wj7Pb+Zub/tNx05x001aYsCDijH1eeIZIyBsQaZ3GPvW5R9vBcpz+79dkyb//btHSXSwgKLmQmmdXDJX6rNxMQ==" saltValue="ICh5F4b1quNL9+50Lhf33Q==" spinCount="100000" sheet="1" objects="1" scenarios="1"/>
  <mergeCells count="15">
    <mergeCell ref="A31:A39"/>
    <mergeCell ref="A30:G30"/>
    <mergeCell ref="A41:A50"/>
    <mergeCell ref="A40:G40"/>
    <mergeCell ref="A1:G1"/>
    <mergeCell ref="A18:G18"/>
    <mergeCell ref="A19:G19"/>
    <mergeCell ref="A21:A29"/>
    <mergeCell ref="A20:G20"/>
    <mergeCell ref="E49:G50"/>
    <mergeCell ref="E38:G39"/>
    <mergeCell ref="E28:G29"/>
    <mergeCell ref="C31:D31"/>
    <mergeCell ref="C21:D21"/>
    <mergeCell ref="C41:D41"/>
  </mergeCells>
  <hyperlinks>
    <hyperlink ref="E28" r:id="rId1" xr:uid="{751B6CB0-406B-4CE5-BF7C-72EB86446868}"/>
    <hyperlink ref="E38" r:id="rId2" xr:uid="{CB1CDEE2-AE72-4B6C-B5DA-6D84347FFA54}"/>
  </hyperlinks>
  <pageMargins left="0.62992125984251968" right="0.62992125984251968" top="0.39370078740157483" bottom="0.39370078740157483" header="0.31496062992125984" footer="0.31496062992125984"/>
  <pageSetup paperSize="9" orientation="portrait" horizontalDpi="0" verticalDpi="0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08B1C19-FACC-4F63-BD11-3910AE7CD808}">
          <x14:formula1>
            <xm:f>obliczenia!$L$2:$L$3</xm:f>
          </x14:formula1>
          <xm:sqref>C5</xm:sqref>
        </x14:dataValidation>
        <x14:dataValidation type="list" allowBlank="1" showInputMessage="1" showErrorMessage="1" xr:uid="{807CD7B6-C3B0-4158-B749-74AA8E4BD0AF}">
          <x14:formula1>
            <xm:f>obliczenia!$L$5:$L$6</xm:f>
          </x14:formula1>
          <xm:sqref>C9</xm:sqref>
        </x14:dataValidation>
        <x14:dataValidation type="list" allowBlank="1" showInputMessage="1" showErrorMessage="1" xr:uid="{1B840F8A-C667-42AA-A143-0A1EDE6BD53F}">
          <x14:formula1>
            <xm:f>obliczenia!$L$9:$L$15</xm:f>
          </x14:formula1>
          <xm:sqref>C10</xm:sqref>
        </x14:dataValidation>
        <x14:dataValidation type="list" allowBlank="1" showInputMessage="1" showErrorMessage="1" xr:uid="{0AE5E6FA-C0A7-4501-B646-A30C6DDDE134}">
          <x14:formula1>
            <xm:f>obliczenia!$L$23:$L$32</xm:f>
          </x14:formula1>
          <xm:sqref>C11</xm:sqref>
        </x14:dataValidation>
        <x14:dataValidation type="list" allowBlank="1" showInputMessage="1" showErrorMessage="1" xr:uid="{3481E861-05DA-42E4-9B19-76F5BE5AE0B7}">
          <x14:formula1>
            <xm:f>obliczenia!$L$17:$L$18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E6C85-427D-465E-96EC-B9B7A618F6C9}">
  <sheetPr codeName="Arkusz3"/>
  <dimension ref="B2:Q48"/>
  <sheetViews>
    <sheetView workbookViewId="0">
      <selection activeCell="D12" sqref="D12"/>
    </sheetView>
  </sheetViews>
  <sheetFormatPr defaultRowHeight="14.25" x14ac:dyDescent="0.45"/>
  <cols>
    <col min="2" max="2" width="20.265625" bestFit="1" customWidth="1"/>
    <col min="4" max="5" width="12.53125" bestFit="1" customWidth="1"/>
    <col min="6" max="6" width="11.53125" bestFit="1" customWidth="1"/>
    <col min="7" max="7" width="12.53125" bestFit="1" customWidth="1"/>
    <col min="9" max="10" width="12.53125" bestFit="1" customWidth="1"/>
    <col min="11" max="12" width="11.53125" bestFit="1" customWidth="1"/>
    <col min="14" max="15" width="12.53125" bestFit="1" customWidth="1"/>
    <col min="16" max="17" width="11.53125" bestFit="1" customWidth="1"/>
  </cols>
  <sheetData>
    <row r="2" spans="2:14" x14ac:dyDescent="0.45">
      <c r="K2" t="s">
        <v>0</v>
      </c>
      <c r="L2" t="s">
        <v>76</v>
      </c>
    </row>
    <row r="3" spans="2:14" x14ac:dyDescent="0.45">
      <c r="B3" s="7" t="s">
        <v>1</v>
      </c>
      <c r="C3" s="8"/>
      <c r="D3" s="8">
        <v>150000</v>
      </c>
      <c r="E3" s="9"/>
      <c r="H3">
        <v>1</v>
      </c>
      <c r="I3" s="1">
        <v>0.85</v>
      </c>
      <c r="L3" t="s">
        <v>77</v>
      </c>
    </row>
    <row r="4" spans="2:14" x14ac:dyDescent="0.45">
      <c r="B4" s="10" t="s">
        <v>2</v>
      </c>
      <c r="C4" s="11"/>
      <c r="D4" s="11">
        <v>225000</v>
      </c>
      <c r="E4" s="12"/>
      <c r="H4">
        <v>2</v>
      </c>
      <c r="I4" s="1">
        <v>0.7</v>
      </c>
    </row>
    <row r="5" spans="2:14" x14ac:dyDescent="0.45">
      <c r="B5" s="10" t="s">
        <v>3</v>
      </c>
      <c r="C5" s="11"/>
      <c r="D5" s="13">
        <v>0.2</v>
      </c>
      <c r="E5" s="12">
        <f>D5/12</f>
        <v>1.6666666666666666E-2</v>
      </c>
      <c r="H5">
        <v>3</v>
      </c>
      <c r="I5" s="1">
        <v>0.55000000000000004</v>
      </c>
      <c r="K5" t="s">
        <v>21</v>
      </c>
      <c r="L5" s="18">
        <v>0.09</v>
      </c>
      <c r="M5" t="s">
        <v>82</v>
      </c>
    </row>
    <row r="6" spans="2:14" x14ac:dyDescent="0.45">
      <c r="B6" s="14" t="s">
        <v>15</v>
      </c>
      <c r="C6" s="15"/>
      <c r="D6" s="16">
        <v>0.09</v>
      </c>
      <c r="E6" s="17">
        <f>D6/12</f>
        <v>7.4999999999999997E-3</v>
      </c>
      <c r="H6">
        <v>4</v>
      </c>
      <c r="I6" s="1">
        <v>0.45</v>
      </c>
      <c r="K6" s="1" t="str">
        <f>VLOOKUP(dane!C9,obliczenia!L5:M6,2)</f>
        <v>PIT</v>
      </c>
      <c r="L6" s="18">
        <v>0.19</v>
      </c>
      <c r="M6" t="s">
        <v>81</v>
      </c>
    </row>
    <row r="7" spans="2:14" x14ac:dyDescent="0.45">
      <c r="H7">
        <v>5</v>
      </c>
      <c r="I7" s="1">
        <v>0.35</v>
      </c>
      <c r="L7" s="1"/>
    </row>
    <row r="8" spans="2:14" x14ac:dyDescent="0.45">
      <c r="B8" t="s">
        <v>20</v>
      </c>
      <c r="D8" s="5">
        <f>dane!C3</f>
        <v>250000</v>
      </c>
      <c r="H8">
        <v>6</v>
      </c>
      <c r="I8" s="1">
        <v>0.3</v>
      </c>
    </row>
    <row r="9" spans="2:14" x14ac:dyDescent="0.45">
      <c r="B9" t="s">
        <v>35</v>
      </c>
      <c r="D9" s="5">
        <f>D8/1.23</f>
        <v>203252.03252032521</v>
      </c>
      <c r="H9">
        <v>7</v>
      </c>
      <c r="I9" s="1">
        <v>0.25</v>
      </c>
      <c r="K9" t="s">
        <v>5</v>
      </c>
      <c r="L9" t="s">
        <v>41</v>
      </c>
      <c r="M9">
        <v>24</v>
      </c>
      <c r="N9" s="1">
        <v>0.7</v>
      </c>
    </row>
    <row r="10" spans="2:14" x14ac:dyDescent="0.45">
      <c r="B10" s="2" t="s">
        <v>18</v>
      </c>
      <c r="D10" s="5">
        <f>D8-D9</f>
        <v>46747.967479674786</v>
      </c>
      <c r="H10">
        <v>8</v>
      </c>
      <c r="I10" s="1">
        <v>0.21</v>
      </c>
      <c r="L10" t="s">
        <v>42</v>
      </c>
      <c r="M10">
        <v>36</v>
      </c>
      <c r="N10" s="1">
        <v>0.55000000000000004</v>
      </c>
    </row>
    <row r="11" spans="2:14" x14ac:dyDescent="0.45">
      <c r="I11" s="1"/>
      <c r="L11" t="s">
        <v>43</v>
      </c>
      <c r="M11">
        <v>48</v>
      </c>
      <c r="N11" s="1">
        <v>0.45</v>
      </c>
    </row>
    <row r="12" spans="2:14" x14ac:dyDescent="0.45">
      <c r="B12" t="s">
        <v>63</v>
      </c>
      <c r="D12">
        <f>IF(dane!F5/(D10/2+D9)&gt;=1,1,dane!F5/(D10/2+D9))</f>
        <v>0.66188340807174884</v>
      </c>
      <c r="E12" t="s">
        <v>62</v>
      </c>
      <c r="F12">
        <f>IF(dane!F5/(F24/2+E24)&gt;=1,1,dane!F5/(F24/2+E24))</f>
        <v>1</v>
      </c>
      <c r="I12" s="1"/>
      <c r="L12" t="s">
        <v>44</v>
      </c>
      <c r="M12">
        <v>60</v>
      </c>
      <c r="N12" s="1">
        <v>0.35</v>
      </c>
    </row>
    <row r="13" spans="2:14" x14ac:dyDescent="0.45">
      <c r="B13" t="s">
        <v>23</v>
      </c>
      <c r="D13" s="4">
        <f>IF(D9&lt;dane!F5,D9,dane!F5)</f>
        <v>150000</v>
      </c>
      <c r="L13" t="s">
        <v>45</v>
      </c>
      <c r="M13">
        <v>72</v>
      </c>
      <c r="N13" s="1">
        <v>0.3</v>
      </c>
    </row>
    <row r="14" spans="2:14" x14ac:dyDescent="0.45">
      <c r="B14" t="s">
        <v>79</v>
      </c>
      <c r="D14" s="5">
        <f>D13-IF(D27&gt;60,D13,D15)</f>
        <v>69282.511210762328</v>
      </c>
      <c r="L14" t="s">
        <v>46</v>
      </c>
      <c r="M14">
        <v>84</v>
      </c>
      <c r="N14" s="1">
        <v>0.25</v>
      </c>
    </row>
    <row r="15" spans="2:14" x14ac:dyDescent="0.45">
      <c r="B15" t="s">
        <v>3</v>
      </c>
      <c r="D15" s="5">
        <f>E5*D9*D27*D12</f>
        <v>80717.488789237672</v>
      </c>
      <c r="L15" t="s">
        <v>47</v>
      </c>
      <c r="M15">
        <v>96</v>
      </c>
      <c r="N15" s="1">
        <v>0.21</v>
      </c>
    </row>
    <row r="17" spans="2:12" x14ac:dyDescent="0.45">
      <c r="B17" t="s">
        <v>50</v>
      </c>
      <c r="D17" s="5">
        <f>D8*dane!C11</f>
        <v>50000</v>
      </c>
      <c r="E17" s="5">
        <f>D17/1.23</f>
        <v>40650.406504065038</v>
      </c>
      <c r="F17" s="5">
        <f>D17-E17</f>
        <v>9349.5934959349615</v>
      </c>
      <c r="K17" t="s">
        <v>75</v>
      </c>
      <c r="L17" t="s">
        <v>76</v>
      </c>
    </row>
    <row r="18" spans="2:12" x14ac:dyDescent="0.45">
      <c r="D18" s="5"/>
      <c r="L18" t="s">
        <v>77</v>
      </c>
    </row>
    <row r="19" spans="2:12" x14ac:dyDescent="0.45">
      <c r="B19" t="s">
        <v>33</v>
      </c>
      <c r="D19" s="5"/>
    </row>
    <row r="20" spans="2:12" x14ac:dyDescent="0.45">
      <c r="B20" t="s">
        <v>17</v>
      </c>
      <c r="D20">
        <f>VLOOKUP(dane!C10,obliczenia!L9:M17,2)-1</f>
        <v>35</v>
      </c>
    </row>
    <row r="21" spans="2:12" x14ac:dyDescent="0.45">
      <c r="B21" t="s">
        <v>55</v>
      </c>
      <c r="D21" s="6">
        <v>0.09</v>
      </c>
      <c r="E21" s="19">
        <f>D21/12</f>
        <v>7.4999999999999997E-3</v>
      </c>
    </row>
    <row r="22" spans="2:12" x14ac:dyDescent="0.45">
      <c r="B22" t="s">
        <v>54</v>
      </c>
      <c r="D22" s="5">
        <f>D8-D17</f>
        <v>200000</v>
      </c>
    </row>
    <row r="23" spans="2:12" x14ac:dyDescent="0.45">
      <c r="B23" t="s">
        <v>51</v>
      </c>
      <c r="D23" s="4">
        <f>(D22*E21*POWER(1+E21,D20)-D24*E21)/(POWER(1+E21,D20)-1)</f>
        <v>6455.6112068334178</v>
      </c>
      <c r="E23" s="5">
        <f>D23/1.23</f>
        <v>5248.4643957995268</v>
      </c>
      <c r="F23" s="5">
        <f>D23-E23</f>
        <v>1207.146811033891</v>
      </c>
      <c r="K23" t="s">
        <v>50</v>
      </c>
      <c r="L23" s="1">
        <v>0</v>
      </c>
    </row>
    <row r="24" spans="2:12" x14ac:dyDescent="0.45">
      <c r="B24" t="s">
        <v>4</v>
      </c>
      <c r="D24" s="4">
        <f>dane!C16*D8</f>
        <v>2500</v>
      </c>
      <c r="E24" s="5">
        <f>D24/1.23</f>
        <v>2032.520325203252</v>
      </c>
      <c r="F24" s="5">
        <f>D24-E24</f>
        <v>467.47967479674799</v>
      </c>
      <c r="L24" s="1">
        <v>0.05</v>
      </c>
    </row>
    <row r="25" spans="2:12" x14ac:dyDescent="0.45">
      <c r="L25" s="1">
        <v>0.1</v>
      </c>
    </row>
    <row r="26" spans="2:12" x14ac:dyDescent="0.45">
      <c r="B26" t="s">
        <v>8</v>
      </c>
      <c r="L26" s="1">
        <v>0.15</v>
      </c>
    </row>
    <row r="27" spans="2:12" x14ac:dyDescent="0.45">
      <c r="B27" t="s">
        <v>49</v>
      </c>
      <c r="D27">
        <f>VLOOKUP(dane!C10,obliczenia!L9:M17,2)</f>
        <v>36</v>
      </c>
      <c r="L27" s="1">
        <v>0.2</v>
      </c>
    </row>
    <row r="28" spans="2:12" x14ac:dyDescent="0.45">
      <c r="B28" t="s">
        <v>56</v>
      </c>
      <c r="D28" s="1">
        <f>dane!C13</f>
        <v>0.08</v>
      </c>
      <c r="E28" s="19">
        <f>D28/12</f>
        <v>6.6666666666666671E-3</v>
      </c>
      <c r="L28" s="1">
        <v>0.25</v>
      </c>
    </row>
    <row r="29" spans="2:12" x14ac:dyDescent="0.45">
      <c r="B29" t="s">
        <v>16</v>
      </c>
      <c r="D29" s="5">
        <f>D8-D17+D30</f>
        <v>210000</v>
      </c>
      <c r="L29" s="1">
        <v>0.3</v>
      </c>
    </row>
    <row r="30" spans="2:12" x14ac:dyDescent="0.45">
      <c r="B30" t="s">
        <v>53</v>
      </c>
      <c r="D30" s="5">
        <f>D8*dane!C14</f>
        <v>10000</v>
      </c>
      <c r="L30" s="1">
        <v>0.35</v>
      </c>
    </row>
    <row r="31" spans="2:12" x14ac:dyDescent="0.45">
      <c r="B31" t="s">
        <v>52</v>
      </c>
      <c r="D31" s="4">
        <f>PMT(E28,D27,-D29)</f>
        <v>6580.636746900479</v>
      </c>
      <c r="L31" s="1">
        <v>0.4</v>
      </c>
    </row>
    <row r="32" spans="2:12" x14ac:dyDescent="0.45">
      <c r="L32" s="1">
        <v>0.45</v>
      </c>
    </row>
    <row r="36" spans="2:17" x14ac:dyDescent="0.45">
      <c r="L36" s="1"/>
    </row>
    <row r="37" spans="2:17" x14ac:dyDescent="0.45">
      <c r="C37" t="s">
        <v>7</v>
      </c>
      <c r="H37" t="s">
        <v>8</v>
      </c>
      <c r="M37" t="s">
        <v>9</v>
      </c>
    </row>
    <row r="38" spans="2:17" ht="28.5" x14ac:dyDescent="0.45">
      <c r="C38" s="3" t="s">
        <v>14</v>
      </c>
      <c r="D38" s="3" t="s">
        <v>38</v>
      </c>
      <c r="E38" s="3" t="s">
        <v>12</v>
      </c>
      <c r="F38" s="3" t="s">
        <v>19</v>
      </c>
      <c r="G38" s="3" t="s">
        <v>11</v>
      </c>
      <c r="H38" s="3" t="s">
        <v>14</v>
      </c>
      <c r="I38" s="3" t="s">
        <v>38</v>
      </c>
      <c r="J38" s="3" t="s">
        <v>12</v>
      </c>
      <c r="K38" s="3" t="s">
        <v>19</v>
      </c>
      <c r="L38" s="3" t="s">
        <v>11</v>
      </c>
      <c r="M38" s="3" t="s">
        <v>14</v>
      </c>
      <c r="N38" s="3" t="s">
        <v>38</v>
      </c>
      <c r="O38" s="3" t="s">
        <v>12</v>
      </c>
      <c r="P38" s="3" t="s">
        <v>19</v>
      </c>
      <c r="Q38" s="3" t="s">
        <v>11</v>
      </c>
    </row>
    <row r="39" spans="2:17" x14ac:dyDescent="0.45">
      <c r="B39" t="s">
        <v>6</v>
      </c>
      <c r="C39" t="s">
        <v>65</v>
      </c>
      <c r="D39" s="5">
        <f>D8</f>
        <v>250000</v>
      </c>
      <c r="E39">
        <v>0</v>
      </c>
      <c r="F39" s="5">
        <f>IF(dane!C4="tak",D10,D10/2)</f>
        <v>23373.983739837393</v>
      </c>
      <c r="G39">
        <v>0</v>
      </c>
      <c r="H39" t="s">
        <v>65</v>
      </c>
      <c r="I39" s="4">
        <f>dane!C11*D8</f>
        <v>50000</v>
      </c>
      <c r="J39" s="5">
        <f>D30</f>
        <v>10000</v>
      </c>
      <c r="K39" s="5">
        <f>IF(dane!C4="tak",D10,D10/2)</f>
        <v>23373.983739837393</v>
      </c>
      <c r="L39" s="5">
        <f>J39*dane!C9</f>
        <v>1900</v>
      </c>
      <c r="M39" t="s">
        <v>65</v>
      </c>
      <c r="N39" s="5">
        <f>D17</f>
        <v>50000</v>
      </c>
      <c r="O39" s="5">
        <f>E17*D12+F17/2</f>
        <v>31580.626344380034</v>
      </c>
      <c r="P39" s="5">
        <f>IF(dane!C4="tak",F17,F17/2)</f>
        <v>4674.7967479674808</v>
      </c>
      <c r="Q39" s="5">
        <f>O39*dane!C9</f>
        <v>6000.3190054322067</v>
      </c>
    </row>
    <row r="40" spans="2:17" x14ac:dyDescent="0.45">
      <c r="B40" t="s">
        <v>10</v>
      </c>
      <c r="C40" s="20" t="str">
        <f>CONCATENATE(D27," x")</f>
        <v>36 x</v>
      </c>
      <c r="D40">
        <v>0</v>
      </c>
      <c r="E40" s="4">
        <f>IF(dane!F13&lt;=60,D9*E5*D12*dane!F13+D10/2,D13)</f>
        <v>104091.47252907506</v>
      </c>
      <c r="F40">
        <v>0</v>
      </c>
      <c r="G40" s="5">
        <f>E40*dane!C9</f>
        <v>19777.379780524261</v>
      </c>
      <c r="H40" t="str">
        <f>CONCATENATE(D27," x")</f>
        <v>36 x</v>
      </c>
      <c r="I40" s="5">
        <f>D31</f>
        <v>6580.636746900479</v>
      </c>
      <c r="J40" s="4">
        <f>IF(dane!F13&lt;=60,D9*E5*D12*dane!F13+D10/2,D13)+D31*D27-D29</f>
        <v>130994.39541749231</v>
      </c>
      <c r="K40">
        <v>0</v>
      </c>
      <c r="L40" s="5">
        <f>J40*dane!C9</f>
        <v>24888.935129323541</v>
      </c>
      <c r="M40" t="str">
        <f>CONCATENATE(D20," x")</f>
        <v>35 x</v>
      </c>
      <c r="N40" s="5">
        <f>D23</f>
        <v>6455.6112068334178</v>
      </c>
      <c r="O40" s="5">
        <f>D20*D23/1.23*D12+D20*F23/2</f>
        <v>142710.5717433189</v>
      </c>
      <c r="P40" s="5">
        <f>IF(dane!C4="tak",D20*F23,D20*F23/2)</f>
        <v>21125.069193093092</v>
      </c>
      <c r="Q40" s="5">
        <f>O40*dane!C9</f>
        <v>27115.00863123059</v>
      </c>
    </row>
    <row r="41" spans="2:17" x14ac:dyDescent="0.45">
      <c r="B41" t="s">
        <v>4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 t="s">
        <v>65</v>
      </c>
      <c r="N41" s="5">
        <f>D24</f>
        <v>2500</v>
      </c>
      <c r="O41">
        <f>IF(E24&gt;10000,0,F24/2+E24)</f>
        <v>2266.2601626016258</v>
      </c>
      <c r="P41" s="5">
        <f>IF(dane!C4="tak",F24,F24/2)</f>
        <v>233.73983739837399</v>
      </c>
      <c r="Q41">
        <f>O41*dane!C9</f>
        <v>430.58943089430892</v>
      </c>
    </row>
    <row r="42" spans="2:17" x14ac:dyDescent="0.45">
      <c r="B42" t="s">
        <v>64</v>
      </c>
      <c r="D42" s="5">
        <f>SUM(D39:D41)</f>
        <v>250000</v>
      </c>
      <c r="E42" s="4">
        <f>SUM(E39:E41)</f>
        <v>104091.47252907506</v>
      </c>
      <c r="F42" s="5">
        <f>SUM(F39:F41)</f>
        <v>23373.983739837393</v>
      </c>
      <c r="G42">
        <f>SUM(G39:G41)</f>
        <v>19777.379780524261</v>
      </c>
      <c r="I42" s="5">
        <f>I39+I40*D27+I41</f>
        <v>286902.92288841726</v>
      </c>
      <c r="J42" s="5">
        <f t="shared" ref="J42:L42" si="0">SUM(J39:J41)</f>
        <v>140994.39541749231</v>
      </c>
      <c r="K42" s="5">
        <f t="shared" si="0"/>
        <v>23373.983739837393</v>
      </c>
      <c r="L42" s="5">
        <f t="shared" si="0"/>
        <v>26788.935129323541</v>
      </c>
      <c r="N42" s="5">
        <f>N39+N40*D20+N41</f>
        <v>278446.39223916963</v>
      </c>
      <c r="O42" s="5">
        <f t="shared" ref="O42:P42" si="1">SUM(O39:O41)</f>
        <v>176557.45825030055</v>
      </c>
      <c r="P42" s="5">
        <f t="shared" si="1"/>
        <v>26033.605778458947</v>
      </c>
      <c r="Q42" s="5">
        <f>SUM(Q39:Q41)</f>
        <v>33545.917067557108</v>
      </c>
    </row>
    <row r="43" spans="2:17" x14ac:dyDescent="0.45">
      <c r="B43" t="s">
        <v>71</v>
      </c>
      <c r="D43" s="5">
        <f>D42-F42-G42</f>
        <v>206848.63647963834</v>
      </c>
      <c r="I43" s="5">
        <f>I42-K42-L42</f>
        <v>236740.0040192563</v>
      </c>
      <c r="N43" s="5">
        <f>N42-P42-Q42</f>
        <v>218866.86939315358</v>
      </c>
    </row>
    <row r="44" spans="2:17" x14ac:dyDescent="0.45">
      <c r="E44" t="s">
        <v>22</v>
      </c>
      <c r="F44" t="s">
        <v>21</v>
      </c>
      <c r="G44" t="s">
        <v>36</v>
      </c>
      <c r="J44" t="s">
        <v>22</v>
      </c>
      <c r="K44" t="s">
        <v>21</v>
      </c>
      <c r="L44" t="s">
        <v>36</v>
      </c>
      <c r="O44" t="s">
        <v>22</v>
      </c>
      <c r="P44" t="s">
        <v>21</v>
      </c>
      <c r="Q44" t="s">
        <v>36</v>
      </c>
    </row>
    <row r="45" spans="2:17" x14ac:dyDescent="0.45">
      <c r="B45" t="s">
        <v>72</v>
      </c>
      <c r="D45" s="5">
        <f>VLOOKUP(D27,M9:N15,2)*D8</f>
        <v>137500</v>
      </c>
      <c r="E45" s="5">
        <f>D45/1.23-D14</f>
        <v>42506.106675416537</v>
      </c>
      <c r="F45" s="5">
        <f>-E45*dane!C9</f>
        <v>-8076.1602683291421</v>
      </c>
      <c r="G45" s="5">
        <f>D45/1.23-D45</f>
        <v>-25711.382113821135</v>
      </c>
      <c r="I45" s="5">
        <f>D45</f>
        <v>137500</v>
      </c>
      <c r="J45" s="5">
        <f>E45</f>
        <v>42506.106675416537</v>
      </c>
      <c r="K45" s="5">
        <f>F45</f>
        <v>-8076.1602683291421</v>
      </c>
      <c r="L45" s="5">
        <f>G45</f>
        <v>-25711.382113821135</v>
      </c>
      <c r="N45" s="5">
        <f>I45</f>
        <v>137500</v>
      </c>
      <c r="O45" s="5">
        <f>N45/1.23-E24</f>
        <v>109756.09756097561</v>
      </c>
      <c r="P45" s="5">
        <f>-O45*dane!C9</f>
        <v>-20853.658536585368</v>
      </c>
      <c r="Q45" s="5">
        <f>L45</f>
        <v>-25711.382113821135</v>
      </c>
    </row>
    <row r="46" spans="2:17" x14ac:dyDescent="0.45">
      <c r="D46" s="5">
        <f>D45+F45+G45</f>
        <v>103712.45761784972</v>
      </c>
      <c r="I46" s="5">
        <f>I45+K45+L45</f>
        <v>103712.45761784972</v>
      </c>
      <c r="N46" s="5">
        <f>N45+P45+Q45</f>
        <v>90934.959349593497</v>
      </c>
    </row>
    <row r="48" spans="2:17" x14ac:dyDescent="0.45">
      <c r="B48" t="s">
        <v>80</v>
      </c>
      <c r="D48" s="5">
        <f>D43-D46</f>
        <v>103136.17886178862</v>
      </c>
      <c r="I48" s="5">
        <f>I43-I46</f>
        <v>133027.54640140658</v>
      </c>
      <c r="N48" s="5">
        <f>N43-N46</f>
        <v>127931.91004356008</v>
      </c>
    </row>
  </sheetData>
  <sheetProtection algorithmName="SHA-512" hashValue="fSdaf83zzYrZo3wnZMdV8nz37VkT7PXjE/0IjuYNFMEoMz83dKasWIUgDivk9wYJBSocft3uBAYLXWcJ1gcPww==" saltValue="A3ldfnqzFEW9/qio571zX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</vt:lpstr>
      <vt:lpstr>obliczenia</vt:lpstr>
    </vt:vector>
  </TitlesOfParts>
  <Company>leasingexpert.pl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porównanie kredyt - leasing - leasingexpert.pl</dc:title>
  <dc:subject>odliczenia po 01.01.2019 dla samochodów osobowych</dc:subject>
  <dc:creator>TT</dc:creator>
  <cp:lastModifiedBy>Tomasz Tutka</cp:lastModifiedBy>
  <cp:lastPrinted>2019-04-19T16:50:43Z</cp:lastPrinted>
  <dcterms:created xsi:type="dcterms:W3CDTF">2019-04-12T08:46:33Z</dcterms:created>
  <dcterms:modified xsi:type="dcterms:W3CDTF">2019-04-23T14:49:44Z</dcterms:modified>
  <cp:category>kalkulator</cp:category>
</cp:coreProperties>
</file>